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60" windowHeight="7995" tabRatio="777" activeTab="1"/>
  </bookViews>
  <sheets>
    <sheet name="ER Core Selection Chart" sheetId="1" r:id="rId1"/>
    <sheet name="ER Core Design Tool" sheetId="2" r:id="rId2"/>
    <sheet name="ER Core Dimension" sheetId="3" state="hidden" r:id="rId3"/>
    <sheet name="ER Core Function Parameter" sheetId="4" state="hidden" r:id="rId4"/>
    <sheet name="ER Core AL" sheetId="5" state="hidden" r:id="rId5"/>
    <sheet name="ER Core Part List" sheetId="6" r:id="rId6"/>
  </sheets>
  <definedNames>
    <definedName name="_xlnm._FilterDatabase" localSheetId="4" hidden="1">'ER Core AL'!$A$1:$G$659</definedName>
    <definedName name="_xlnm.Print_Area" localSheetId="1">'ER Core Design Tool'!$A$1:$W$77</definedName>
    <definedName name="wire">'ER Core AL'!$M$2:$M$3</definedName>
    <definedName name="사이즈">'ER Core Dimension'!$A$5:$A$18</definedName>
    <definedName name="재질">'ER Core AL'!$K$2:$K$3</definedName>
  </definedNames>
  <calcPr fullCalcOnLoad="1"/>
</workbook>
</file>

<file path=xl/sharedStrings.xml><?xml version="1.0" encoding="utf-8"?>
<sst xmlns="http://schemas.openxmlformats.org/spreadsheetml/2006/main" count="666" uniqueCount="371">
  <si>
    <t>Path length
(cm)</t>
  </si>
  <si>
    <t>Volume
(cc)</t>
  </si>
  <si>
    <t>Material</t>
  </si>
  <si>
    <t>DC Bias parameter</t>
  </si>
  <si>
    <t>Loss Function parameter</t>
  </si>
  <si>
    <t>ui</t>
  </si>
  <si>
    <t>a</t>
  </si>
  <si>
    <t>b</t>
  </si>
  <si>
    <t>c</t>
  </si>
  <si>
    <t>No.</t>
  </si>
  <si>
    <r>
      <t>Path length(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</si>
  <si>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Volume(cc)</t>
  </si>
  <si>
    <r>
      <t>Window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</si>
  <si>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Peak Current (A)</t>
  </si>
  <si>
    <t>Turns</t>
  </si>
  <si>
    <r>
      <t>Wire length/T(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</si>
  <si>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Winding Factor(%)</t>
  </si>
  <si>
    <r>
      <t>Cross Section A
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</si>
  <si>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r>
      <t>Window Area
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</si>
  <si>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r>
      <t>Surface Area 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</si>
  <si>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t>0% Winding
length/turn</t>
  </si>
  <si>
    <t>Core Loss</t>
  </si>
  <si>
    <t>Current Density</t>
  </si>
  <si>
    <t>DC Bias Parameter</t>
  </si>
  <si>
    <t>ui</t>
  </si>
  <si>
    <t>a</t>
  </si>
  <si>
    <t>b</t>
  </si>
  <si>
    <t>c</t>
  </si>
  <si>
    <t>ui</t>
  </si>
  <si>
    <t>a</t>
  </si>
  <si>
    <t>b</t>
  </si>
  <si>
    <t>Loss Function parameter</t>
  </si>
  <si>
    <t>ΔI</t>
  </si>
  <si>
    <t>A</t>
  </si>
  <si>
    <t>DC Bias Characteristics</t>
  </si>
  <si>
    <t>Wire Dia(mm)</t>
  </si>
  <si>
    <t>D</t>
  </si>
  <si>
    <t>Delta T</t>
  </si>
  <si>
    <r>
      <t>Cross Section
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</si>
  <si>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Lrated / Linitial</t>
  </si>
  <si>
    <t>`</t>
  </si>
  <si>
    <t>재질</t>
  </si>
  <si>
    <t>일반</t>
  </si>
  <si>
    <t>사양</t>
  </si>
  <si>
    <t>품번</t>
  </si>
  <si>
    <t>AL</t>
  </si>
  <si>
    <t>사이즈</t>
  </si>
  <si>
    <t>투자율</t>
  </si>
  <si>
    <t>Material</t>
  </si>
  <si>
    <t>Core Loss(W)</t>
  </si>
  <si>
    <t>DC</t>
  </si>
  <si>
    <t>AC</t>
  </si>
  <si>
    <t>Flux Density(G)</t>
  </si>
  <si>
    <t>DC(ΔB/2)</t>
  </si>
  <si>
    <t>AC(ΔB)</t>
  </si>
  <si>
    <t>Current</t>
  </si>
  <si>
    <t>H(Oe)</t>
  </si>
  <si>
    <t>Design Parameter</t>
  </si>
  <si>
    <t>Inductance</t>
  </si>
  <si>
    <t>Total Loss &amp; Delta T</t>
  </si>
  <si>
    <t>B</t>
  </si>
  <si>
    <t>C</t>
  </si>
  <si>
    <t>E</t>
  </si>
  <si>
    <t>F</t>
  </si>
  <si>
    <t>Core Dimension &amp; Parameter</t>
  </si>
  <si>
    <t>Size(mm)</t>
  </si>
  <si>
    <t>A</t>
  </si>
  <si>
    <t>B</t>
  </si>
  <si>
    <t>C</t>
  </si>
  <si>
    <t>D</t>
  </si>
  <si>
    <t>E</t>
  </si>
  <si>
    <t>F</t>
  </si>
  <si>
    <t>SIZE</t>
  </si>
  <si>
    <t>AL</t>
  </si>
  <si>
    <t>a</t>
  </si>
  <si>
    <t>b</t>
  </si>
  <si>
    <t>c</t>
  </si>
  <si>
    <t>3222A</t>
  </si>
  <si>
    <t>3222B</t>
  </si>
  <si>
    <t>Flat Wire</t>
  </si>
  <si>
    <t>Width=</t>
  </si>
  <si>
    <t>Thickness=</t>
  </si>
  <si>
    <r>
      <t>Surface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</si>
  <si>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Graph range</t>
  </si>
  <si>
    <t>1911A</t>
  </si>
  <si>
    <t>2314A</t>
  </si>
  <si>
    <t>2518A</t>
  </si>
  <si>
    <t>2518B</t>
  </si>
  <si>
    <t>3020A</t>
  </si>
  <si>
    <t>3020B</t>
  </si>
  <si>
    <t>3222C</t>
  </si>
  <si>
    <t>3624A</t>
  </si>
  <si>
    <t>3624B</t>
  </si>
  <si>
    <t>4225A</t>
  </si>
  <si>
    <t>4225B</t>
  </si>
  <si>
    <t>4225B</t>
  </si>
  <si>
    <t>RH(HighFlux)</t>
  </si>
  <si>
    <t>RK(MegaFlux)</t>
  </si>
  <si>
    <t>ER Core Design</t>
  </si>
  <si>
    <r>
      <t>LI</t>
    </r>
    <r>
      <rPr>
        <b/>
        <vertAlign val="superscript"/>
        <sz val="12"/>
        <rFont val="돋움"/>
        <family val="3"/>
      </rPr>
      <t>2</t>
    </r>
  </si>
  <si>
    <t>d</t>
  </si>
  <si>
    <t>a</t>
  </si>
  <si>
    <t>b</t>
  </si>
  <si>
    <t>c</t>
  </si>
  <si>
    <t>d</t>
  </si>
  <si>
    <t>Core Loss(mW/cc)</t>
  </si>
  <si>
    <t>Perm.</t>
  </si>
  <si>
    <r>
      <t>H(Oe)</t>
    </r>
    <r>
      <rPr>
        <sz val="10"/>
        <rFont val="돋움"/>
        <family val="3"/>
      </rPr>
      <t>＼</t>
    </r>
    <r>
      <rPr>
        <sz val="10"/>
        <rFont val="Verdana"/>
        <family val="2"/>
      </rPr>
      <t>AL</t>
    </r>
  </si>
  <si>
    <t>Perm.</t>
  </si>
  <si>
    <t>026</t>
  </si>
  <si>
    <t>040</t>
  </si>
  <si>
    <t>060</t>
  </si>
  <si>
    <t>RH1911A026</t>
  </si>
  <si>
    <t>RH1911A040</t>
  </si>
  <si>
    <t>RH1911A060</t>
  </si>
  <si>
    <t>RH2314A026</t>
  </si>
  <si>
    <t>RH2314A040</t>
  </si>
  <si>
    <t>RH2314A060</t>
  </si>
  <si>
    <t>RH2518A026</t>
  </si>
  <si>
    <t>RH2518A040</t>
  </si>
  <si>
    <t>RH2518A060</t>
  </si>
  <si>
    <t>RH2518B026</t>
  </si>
  <si>
    <t>RH2518B040</t>
  </si>
  <si>
    <t>RH2518B060</t>
  </si>
  <si>
    <t>RH3020A026</t>
  </si>
  <si>
    <t>RH3020A040</t>
  </si>
  <si>
    <t>RH3020A060</t>
  </si>
  <si>
    <t>RH3020B026</t>
  </si>
  <si>
    <t>RH3020B040</t>
  </si>
  <si>
    <t>RH3020B060</t>
  </si>
  <si>
    <t>RH3222A026</t>
  </si>
  <si>
    <t>RH3222A040</t>
  </si>
  <si>
    <t>RH3222A060</t>
  </si>
  <si>
    <t>RH3222B026</t>
  </si>
  <si>
    <t>RH3222B040</t>
  </si>
  <si>
    <t>RH3222B060</t>
  </si>
  <si>
    <t>RH3222C026</t>
  </si>
  <si>
    <t>RH3222C040</t>
  </si>
  <si>
    <t>RH3222C060</t>
  </si>
  <si>
    <t>RH3624A026</t>
  </si>
  <si>
    <t>RH3624A040</t>
  </si>
  <si>
    <t>RH3624A060</t>
  </si>
  <si>
    <t>RH3624B026</t>
  </si>
  <si>
    <t>RH3624B040</t>
  </si>
  <si>
    <t>RH3624B060</t>
  </si>
  <si>
    <t>RH4225A026</t>
  </si>
  <si>
    <t>RH4225A040</t>
  </si>
  <si>
    <t>RH4225A060</t>
  </si>
  <si>
    <t>RH4225B026</t>
  </si>
  <si>
    <t>RH4225B040</t>
  </si>
  <si>
    <t>RH4225B060</t>
  </si>
  <si>
    <t>RK1911A026</t>
  </si>
  <si>
    <t>RK1911A040</t>
  </si>
  <si>
    <t>RK1911A060</t>
  </si>
  <si>
    <t>RK2314A026</t>
  </si>
  <si>
    <t>RK2314A040</t>
  </si>
  <si>
    <t>RK2314A060</t>
  </si>
  <si>
    <t>RK2518A026</t>
  </si>
  <si>
    <t>RK2518A040</t>
  </si>
  <si>
    <t>RK2518A060</t>
  </si>
  <si>
    <t>RK2518B026</t>
  </si>
  <si>
    <t>RK2518B040</t>
  </si>
  <si>
    <t>RK2518B060</t>
  </si>
  <si>
    <t>RK3020A026</t>
  </si>
  <si>
    <t>RK3020A040</t>
  </si>
  <si>
    <t>RK3020A060</t>
  </si>
  <si>
    <t>RK3020B026</t>
  </si>
  <si>
    <t>RK3020B040</t>
  </si>
  <si>
    <t>RK3020B060</t>
  </si>
  <si>
    <t>RK3222A026</t>
  </si>
  <si>
    <t>RK3222A040</t>
  </si>
  <si>
    <t>RK3222A060</t>
  </si>
  <si>
    <t>RK3222B026</t>
  </si>
  <si>
    <t>RK3222B040</t>
  </si>
  <si>
    <t>RK3222B060</t>
  </si>
  <si>
    <t>RK3222C026</t>
  </si>
  <si>
    <t>RK3222C040</t>
  </si>
  <si>
    <t>RK3222C060</t>
  </si>
  <si>
    <t>RK3624A026</t>
  </si>
  <si>
    <t>RK3624A040</t>
  </si>
  <si>
    <t>RK3624A060</t>
  </si>
  <si>
    <t>RK3624B026</t>
  </si>
  <si>
    <t>RK3624B040</t>
  </si>
  <si>
    <t>RK3624B060</t>
  </si>
  <si>
    <t>RK4225A026</t>
  </si>
  <si>
    <t>RK4225A040</t>
  </si>
  <si>
    <t>RK4225A060</t>
  </si>
  <si>
    <t>RK4225B026</t>
  </si>
  <si>
    <t>RK4225B040</t>
  </si>
  <si>
    <t>RK4225B060</t>
  </si>
  <si>
    <t>026</t>
  </si>
  <si>
    <t>040</t>
  </si>
  <si>
    <t>060</t>
  </si>
  <si>
    <t>060</t>
  </si>
  <si>
    <t>Total Loss(W)</t>
  </si>
  <si>
    <t>~</t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</si>
  <si>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20</t>
    </r>
    <r>
      <rPr>
        <sz val="10"/>
        <rFont val="돋움"/>
        <family val="3"/>
      </rPr>
      <t>℃</t>
    </r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</si>
  <si>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T(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</si>
  <si>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t>Wire Material</t>
  </si>
  <si>
    <t>Copper</t>
  </si>
  <si>
    <t>Aluminum</t>
  </si>
  <si>
    <r>
      <t>Wire Eff. Area(</t>
    </r>
    <r>
      <rPr>
        <sz val="10"/>
        <rFont val="돋움"/>
        <family val="3"/>
      </rPr>
      <t>㎟</t>
    </r>
    <r>
      <rPr>
        <sz val="10"/>
        <rFont val="Verdana"/>
        <family val="2"/>
      </rPr>
      <t>)</t>
    </r>
  </si>
  <si>
    <t>Wire Material</t>
  </si>
  <si>
    <t>Copper</t>
  </si>
  <si>
    <r>
      <t>Temp of Wire(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</si>
  <si>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t>Wire Weight(g)</t>
  </si>
  <si>
    <t>P/N</t>
  </si>
  <si>
    <t>Dimensions</t>
  </si>
  <si>
    <t>Path
length   (㎝)</t>
  </si>
  <si>
    <t>Cross
Section
Area     (㎠)</t>
  </si>
  <si>
    <r>
      <t>AL value    (nH/n</t>
    </r>
    <r>
      <rPr>
        <vertAlign val="superscript"/>
        <sz val="9"/>
        <rFont val="돋움"/>
        <family val="3"/>
      </rPr>
      <t>2</t>
    </r>
    <r>
      <rPr>
        <sz val="9"/>
        <rFont val="돋움"/>
        <family val="3"/>
      </rPr>
      <t>)±12%</t>
    </r>
  </si>
  <si>
    <t>A       (mm)</t>
  </si>
  <si>
    <t>B       (mm)</t>
  </si>
  <si>
    <t>C       (mm)</t>
  </si>
  <si>
    <t>D       (mm)</t>
  </si>
  <si>
    <t>E       (mm)</t>
  </si>
  <si>
    <t>F       (mm)</t>
  </si>
  <si>
    <t>026u</t>
  </si>
  <si>
    <t>040u</t>
  </si>
  <si>
    <t>060u</t>
  </si>
  <si>
    <t>RH</t>
  </si>
  <si>
    <r>
      <t>1</t>
    </r>
    <r>
      <rPr>
        <sz val="10"/>
        <color indexed="8"/>
        <rFont val="돋움"/>
        <family val="3"/>
      </rPr>
      <t>911A</t>
    </r>
  </si>
  <si>
    <t>18.8±0.3</t>
  </si>
  <si>
    <t>11.0±0.2</t>
  </si>
  <si>
    <t>6.0±0.2</t>
  </si>
  <si>
    <t>7.4±0.2</t>
  </si>
  <si>
    <t>15.6±0.2</t>
  </si>
  <si>
    <t>4.0±0.2</t>
  </si>
  <si>
    <r>
      <t>2</t>
    </r>
    <r>
      <rPr>
        <sz val="10"/>
        <color indexed="8"/>
        <rFont val="돋움"/>
        <family val="3"/>
      </rPr>
      <t>314A</t>
    </r>
  </si>
  <si>
    <t>23.4±0.3</t>
  </si>
  <si>
    <t>14.0±0.2</t>
  </si>
  <si>
    <t>8.7±0.2</t>
  </si>
  <si>
    <t>9.2±0.2</t>
  </si>
  <si>
    <t>19.4±0.2</t>
  </si>
  <si>
    <t>6.2±0.2</t>
  </si>
  <si>
    <r>
      <t>2</t>
    </r>
    <r>
      <rPr>
        <sz val="10"/>
        <color indexed="8"/>
        <rFont val="돋움"/>
        <family val="3"/>
      </rPr>
      <t>518A</t>
    </r>
  </si>
  <si>
    <t>25.0±0.3</t>
  </si>
  <si>
    <t>18.0±0.2</t>
  </si>
  <si>
    <t>8.4±0.2</t>
  </si>
  <si>
    <t>21.0±0.3</t>
  </si>
  <si>
    <t>5.4±0.2</t>
  </si>
  <si>
    <r>
      <t>2</t>
    </r>
    <r>
      <rPr>
        <sz val="10"/>
        <color indexed="8"/>
        <rFont val="돋움"/>
        <family val="3"/>
      </rPr>
      <t>518B</t>
    </r>
  </si>
  <si>
    <t>10.8±0.2</t>
  </si>
  <si>
    <t>7.8±0.2</t>
  </si>
  <si>
    <r>
      <t>3</t>
    </r>
    <r>
      <rPr>
        <sz val="10"/>
        <color indexed="8"/>
        <rFont val="돋움"/>
        <family val="3"/>
      </rPr>
      <t>020A</t>
    </r>
  </si>
  <si>
    <t>30.0±0.4</t>
  </si>
  <si>
    <t>20.0±0.3</t>
  </si>
  <si>
    <t>12.0±0.2</t>
  </si>
  <si>
    <t>25.6±0.3</t>
  </si>
  <si>
    <t>5.9±0.2</t>
  </si>
  <si>
    <r>
      <t>3</t>
    </r>
    <r>
      <rPr>
        <sz val="10"/>
        <color indexed="8"/>
        <rFont val="돋움"/>
        <family val="3"/>
      </rPr>
      <t>020B</t>
    </r>
  </si>
  <si>
    <t>11.8±0.2</t>
  </si>
  <si>
    <t>8.5±0.2</t>
  </si>
  <si>
    <r>
      <t>3</t>
    </r>
    <r>
      <rPr>
        <sz val="10"/>
        <color indexed="8"/>
        <rFont val="돋움"/>
        <family val="3"/>
      </rPr>
      <t>222A</t>
    </r>
  </si>
  <si>
    <t>32.0±0.4</t>
  </si>
  <si>
    <t>22.0±0.3</t>
  </si>
  <si>
    <t>10.3±0.2</t>
  </si>
  <si>
    <t>13.5±0.2</t>
  </si>
  <si>
    <t>27.0±0.3</t>
  </si>
  <si>
    <t>6.6±0.2</t>
  </si>
  <si>
    <r>
      <t>3</t>
    </r>
    <r>
      <rPr>
        <sz val="10"/>
        <color indexed="8"/>
        <rFont val="돋움"/>
        <family val="3"/>
      </rPr>
      <t>222B</t>
    </r>
  </si>
  <si>
    <t>13.4±0.2</t>
  </si>
  <si>
    <t>9.7±0.2</t>
  </si>
  <si>
    <r>
      <t>3</t>
    </r>
    <r>
      <rPr>
        <sz val="10"/>
        <color indexed="8"/>
        <rFont val="돋움"/>
        <family val="3"/>
      </rPr>
      <t>222C</t>
    </r>
  </si>
  <si>
    <t>15.2±0.2</t>
  </si>
  <si>
    <t>11.5±0.2</t>
  </si>
  <si>
    <r>
      <t>3</t>
    </r>
    <r>
      <rPr>
        <sz val="10"/>
        <color indexed="8"/>
        <rFont val="돋움"/>
        <family val="3"/>
      </rPr>
      <t>624A</t>
    </r>
  </si>
  <si>
    <t>36.2±0.4</t>
  </si>
  <si>
    <t>24.0±0.3</t>
  </si>
  <si>
    <t>11.2±0.2</t>
  </si>
  <si>
    <t>15.0±0.2</t>
  </si>
  <si>
    <t>30.4±0.4</t>
  </si>
  <si>
    <t>7.2±0.2</t>
  </si>
  <si>
    <r>
      <t>3</t>
    </r>
    <r>
      <rPr>
        <sz val="10"/>
        <color indexed="8"/>
        <rFont val="돋움"/>
        <family val="3"/>
      </rPr>
      <t>624B</t>
    </r>
  </si>
  <si>
    <t>36.2±0.4</t>
  </si>
  <si>
    <t>24.0±0.3</t>
  </si>
  <si>
    <t>14.4±0.2</t>
  </si>
  <si>
    <t>15.0±0.2</t>
  </si>
  <si>
    <t>30.4±0.4</t>
  </si>
  <si>
    <t>10.4±0.2</t>
  </si>
  <si>
    <t>RH</t>
  </si>
  <si>
    <r>
      <t>4</t>
    </r>
    <r>
      <rPr>
        <sz val="10"/>
        <color indexed="8"/>
        <rFont val="돋움"/>
        <family val="3"/>
      </rPr>
      <t>225A</t>
    </r>
  </si>
  <si>
    <t>42.0±0.5</t>
  </si>
  <si>
    <t>25.0±0.3</t>
  </si>
  <si>
    <t>12.3±0.2</t>
  </si>
  <si>
    <t>16.2±0.3</t>
  </si>
  <si>
    <t>35.2±0.4</t>
  </si>
  <si>
    <t>7.9±0.2</t>
  </si>
  <si>
    <t>RK</t>
  </si>
  <si>
    <r>
      <t>1</t>
    </r>
    <r>
      <rPr>
        <sz val="10"/>
        <color indexed="8"/>
        <rFont val="돋움"/>
        <family val="3"/>
      </rPr>
      <t>911A</t>
    </r>
  </si>
  <si>
    <t>18.8±0.3</t>
  </si>
  <si>
    <t>11.0±0.2</t>
  </si>
  <si>
    <t>6.0±0.2</t>
  </si>
  <si>
    <t>7.4±0.2</t>
  </si>
  <si>
    <t>15.6±0.2</t>
  </si>
  <si>
    <t>4.0±0.2</t>
  </si>
  <si>
    <r>
      <t>2</t>
    </r>
    <r>
      <rPr>
        <sz val="10"/>
        <color indexed="8"/>
        <rFont val="돋움"/>
        <family val="3"/>
      </rPr>
      <t>314A</t>
    </r>
  </si>
  <si>
    <t>23.4±0.3</t>
  </si>
  <si>
    <t>14.0±0.2</t>
  </si>
  <si>
    <t>8.7±0.2</t>
  </si>
  <si>
    <t>9.2±0.2</t>
  </si>
  <si>
    <t>19.4±0.2</t>
  </si>
  <si>
    <t>6.2±0.2</t>
  </si>
  <si>
    <r>
      <t>2</t>
    </r>
    <r>
      <rPr>
        <sz val="10"/>
        <color indexed="8"/>
        <rFont val="돋움"/>
        <family val="3"/>
      </rPr>
      <t>518A</t>
    </r>
  </si>
  <si>
    <t>18.0±0.2</t>
  </si>
  <si>
    <t>8.4±0.2</t>
  </si>
  <si>
    <t>21.0±0.3</t>
  </si>
  <si>
    <t>5.4±0.2</t>
  </si>
  <si>
    <r>
      <t>2</t>
    </r>
    <r>
      <rPr>
        <sz val="10"/>
        <color indexed="8"/>
        <rFont val="돋움"/>
        <family val="3"/>
      </rPr>
      <t>518B</t>
    </r>
  </si>
  <si>
    <t>10.8±0.2</t>
  </si>
  <si>
    <t>7.8±0.2</t>
  </si>
  <si>
    <r>
      <t>3</t>
    </r>
    <r>
      <rPr>
        <sz val="10"/>
        <color indexed="8"/>
        <rFont val="돋움"/>
        <family val="3"/>
      </rPr>
      <t>020A</t>
    </r>
  </si>
  <si>
    <t>30.0±0.4</t>
  </si>
  <si>
    <t>20.0±0.3</t>
  </si>
  <si>
    <t>12.0±0.2</t>
  </si>
  <si>
    <t>25.6±0.3</t>
  </si>
  <si>
    <t>5.9±0.2</t>
  </si>
  <si>
    <r>
      <t>3</t>
    </r>
    <r>
      <rPr>
        <sz val="10"/>
        <color indexed="8"/>
        <rFont val="돋움"/>
        <family val="3"/>
      </rPr>
      <t>020B</t>
    </r>
  </si>
  <si>
    <t>11.8±0.2</t>
  </si>
  <si>
    <t>8.5±0.2</t>
  </si>
  <si>
    <r>
      <t>3</t>
    </r>
    <r>
      <rPr>
        <sz val="10"/>
        <color indexed="8"/>
        <rFont val="돋움"/>
        <family val="3"/>
      </rPr>
      <t>222A</t>
    </r>
  </si>
  <si>
    <t>32.0±0.4</t>
  </si>
  <si>
    <t>22.0±0.3</t>
  </si>
  <si>
    <t>10.3±0.2</t>
  </si>
  <si>
    <t>13.5±0.2</t>
  </si>
  <si>
    <t>27.0±0.3</t>
  </si>
  <si>
    <t>6.6±0.2</t>
  </si>
  <si>
    <r>
      <t>3</t>
    </r>
    <r>
      <rPr>
        <sz val="10"/>
        <color indexed="8"/>
        <rFont val="돋움"/>
        <family val="3"/>
      </rPr>
      <t>222B</t>
    </r>
  </si>
  <si>
    <t>13.4±0.2</t>
  </si>
  <si>
    <t>9.7±0.2</t>
  </si>
  <si>
    <r>
      <t>3</t>
    </r>
    <r>
      <rPr>
        <sz val="10"/>
        <color indexed="8"/>
        <rFont val="돋움"/>
        <family val="3"/>
      </rPr>
      <t>222C</t>
    </r>
  </si>
  <si>
    <t>15.2±0.2</t>
  </si>
  <si>
    <t>11.5±0.2</t>
  </si>
  <si>
    <r>
      <t>3</t>
    </r>
    <r>
      <rPr>
        <sz val="10"/>
        <color indexed="8"/>
        <rFont val="돋움"/>
        <family val="3"/>
      </rPr>
      <t>624A</t>
    </r>
  </si>
  <si>
    <t>11.2±0.2</t>
  </si>
  <si>
    <t>7.2±0.2</t>
  </si>
  <si>
    <r>
      <t xml:space="preserve">High Flux : </t>
    </r>
    <r>
      <rPr>
        <b/>
        <sz val="11"/>
        <color indexed="10"/>
        <rFont val="돋움"/>
        <family val="3"/>
      </rPr>
      <t>RH3222B-060</t>
    </r>
    <r>
      <rPr>
        <b/>
        <sz val="11"/>
        <rFont val="돋움"/>
        <family val="3"/>
      </rPr>
      <t xml:space="preserve"> --&gt;</t>
    </r>
    <r>
      <rPr>
        <b/>
        <sz val="11"/>
        <color indexed="10"/>
        <rFont val="돋움"/>
        <family val="3"/>
      </rPr>
      <t>R</t>
    </r>
    <r>
      <rPr>
        <b/>
        <sz val="11"/>
        <rFont val="돋움"/>
        <family val="3"/>
      </rPr>
      <t xml:space="preserve">=ER Shape, </t>
    </r>
    <r>
      <rPr>
        <b/>
        <sz val="11"/>
        <color indexed="10"/>
        <rFont val="돋움"/>
        <family val="3"/>
      </rPr>
      <t>H</t>
    </r>
    <r>
      <rPr>
        <b/>
        <sz val="11"/>
        <rFont val="돋움"/>
        <family val="3"/>
      </rPr>
      <t xml:space="preserve">=High Flux Material, , </t>
    </r>
    <r>
      <rPr>
        <b/>
        <sz val="11"/>
        <color indexed="10"/>
        <rFont val="돋움"/>
        <family val="3"/>
      </rPr>
      <t>32</t>
    </r>
    <r>
      <rPr>
        <b/>
        <sz val="11"/>
        <rFont val="돋움"/>
        <family val="3"/>
      </rPr>
      <t xml:space="preserve">=A(Length 32), </t>
    </r>
    <r>
      <rPr>
        <b/>
        <sz val="11"/>
        <color indexed="10"/>
        <rFont val="돋움"/>
        <family val="3"/>
      </rPr>
      <t>22</t>
    </r>
    <r>
      <rPr>
        <b/>
        <sz val="11"/>
        <rFont val="돋움"/>
        <family val="3"/>
      </rPr>
      <t xml:space="preserve">=B(Width 22), </t>
    </r>
    <r>
      <rPr>
        <b/>
        <sz val="11"/>
        <color indexed="10"/>
        <rFont val="돋움"/>
        <family val="3"/>
      </rPr>
      <t>B</t>
    </r>
    <r>
      <rPr>
        <b/>
        <sz val="11"/>
        <rFont val="돋움"/>
        <family val="3"/>
      </rPr>
      <t xml:space="preserve">=C(Height), </t>
    </r>
    <r>
      <rPr>
        <b/>
        <sz val="11"/>
        <color indexed="10"/>
        <rFont val="돋움"/>
        <family val="3"/>
      </rPr>
      <t>060</t>
    </r>
    <r>
      <rPr>
        <b/>
        <sz val="11"/>
        <rFont val="돋움"/>
        <family val="3"/>
      </rPr>
      <t>=Perm.</t>
    </r>
  </si>
  <si>
    <t>Mega Flux : RK3222B-060</t>
  </si>
  <si>
    <t>Curr.</t>
  </si>
  <si>
    <t>4628A</t>
  </si>
  <si>
    <t>4628A</t>
  </si>
  <si>
    <t>RH4628A026</t>
  </si>
  <si>
    <t>RH4628A040</t>
  </si>
  <si>
    <t>RH4628A060</t>
  </si>
  <si>
    <t>RK4628A026</t>
  </si>
  <si>
    <t>RK4628A040</t>
  </si>
  <si>
    <t>RK4628A060</t>
  </si>
  <si>
    <t>RH</t>
  </si>
  <si>
    <t>42.0±0.5</t>
  </si>
  <si>
    <t>25.0±0.3</t>
  </si>
  <si>
    <t>15.8±0.2</t>
  </si>
  <si>
    <t>16.2±0.3</t>
  </si>
  <si>
    <t>35.2±0.4</t>
  </si>
  <si>
    <t>11.4±0.2</t>
  </si>
  <si>
    <t>RK</t>
  </si>
  <si>
    <t>42.0±0.5</t>
  </si>
  <si>
    <t>39.3±0.5</t>
  </si>
  <si>
    <t>46.5±0.6</t>
  </si>
  <si>
    <t>28.0±0.5</t>
  </si>
  <si>
    <t>19.0±0.4</t>
  </si>
  <si>
    <t>14.9±0.4</t>
  </si>
  <si>
    <t>14.5±0.3</t>
  </si>
  <si>
    <t>RMS Current (A)</t>
  </si>
  <si>
    <t>L@Ipeak</t>
  </si>
  <si>
    <t>Frequency (kHz)</t>
  </si>
  <si>
    <t>Ripple Current (ΔI)</t>
  </si>
  <si>
    <t>Wire loss @Irms (W)</t>
  </si>
  <si>
    <t>Wire loss @Ipeak (W)</t>
  </si>
  <si>
    <t>RH(HighFlux)</t>
  </si>
  <si>
    <r>
      <t>Required L (</t>
    </r>
    <r>
      <rPr>
        <b/>
        <sz val="10"/>
        <rFont val="돋움"/>
        <family val="3"/>
      </rPr>
      <t>μ</t>
    </r>
    <r>
      <rPr>
        <b/>
        <sz val="10"/>
        <rFont val="Verdana"/>
        <family val="2"/>
      </rPr>
      <t>H) @ Ipeak</t>
    </r>
  </si>
  <si>
    <t>3020A</t>
  </si>
</sst>
</file>

<file path=xl/styles.xml><?xml version="1.0" encoding="utf-8"?>
<styleSheet xmlns="http://schemas.openxmlformats.org/spreadsheetml/2006/main">
  <numFmts count="6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 "/>
    <numFmt numFmtId="178" formatCode="0.00_);[Red]\(0.00\)"/>
    <numFmt numFmtId="179" formatCode="0.0_ "/>
    <numFmt numFmtId="180" formatCode="0.00_ "/>
    <numFmt numFmtId="181" formatCode="0.000_ "/>
    <numFmt numFmtId="182" formatCode="_-* #,##0.00_-;\-* #,##0.00_-;_-* &quot;-&quot;_-;_-@_-"/>
    <numFmt numFmtId="183" formatCode="_-* #,##0.0000_-;\-* #,##0.0000_-;_-* &quot;-&quot;_-;_-@_-"/>
    <numFmt numFmtId="184" formatCode="_-* #,##0.000_-;\-* #,##0.000_-;_-* &quot;-&quot;_-;_-@_-"/>
    <numFmt numFmtId="185" formatCode="0.000"/>
    <numFmt numFmtId="186" formatCode="_-* #,##0.0_-;\-* #,##0.0_-;_-* &quot;-&quot;_-;_-@_-"/>
    <numFmt numFmtId="187" formatCode="_-* #,##0.000_-;\-* #,##0.000_-;_-* &quot;-&quot;???_-;_-@_-"/>
    <numFmt numFmtId="188" formatCode="###\ &quot;A/㎟&quot;"/>
    <numFmt numFmtId="189" formatCode="0##\ &quot;A&quot;"/>
    <numFmt numFmtId="190" formatCode="###\ &quot;A&quot;"/>
    <numFmt numFmtId="191" formatCode="#,###"/>
    <numFmt numFmtId="192" formatCode="_-* #,##0.0_-;\-* #,##0.0_-;_-* &quot;-&quot;??_-;_-@_-"/>
    <numFmt numFmtId="193" formatCode="_-* #,##0.0_-;\-* #,##0.0_-;_-* &quot;-&quot;???_-;_-@_-"/>
    <numFmt numFmtId="194" formatCode="###\ &quot;μ&quot;"/>
    <numFmt numFmtId="195" formatCode="0#,###"/>
    <numFmt numFmtId="196" formatCode="###.0\ &quot;A/㎟&quot;"/>
    <numFmt numFmtId="197" formatCode="_-* #,##0.0_-;\-* #,##0.0_-;_-* &quot;-&quot;?_-;_-@_-"/>
    <numFmt numFmtId="198" formatCode="###.00\ &quot;A/㎟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_-;\-* #,##0_-;_-* &quot;-&quot;??_-;_-@_-"/>
    <numFmt numFmtId="204" formatCode="0_ "/>
    <numFmt numFmtId="205" formatCode="_-* #,##0.00_-;\-* #,##0.00_-;_-* &quot;-&quot;???_-;_-@_-"/>
    <numFmt numFmtId="206" formatCode="###.00\ &quot;μH&quot;"/>
    <numFmt numFmtId="207" formatCode="###.0\ &quot;μH&quot;"/>
    <numFmt numFmtId="208" formatCode="###.0\ &quot;A&quot;"/>
    <numFmt numFmtId="209" formatCode="####.0\ &quot;μH&quot;"/>
    <numFmt numFmtId="210" formatCode="#,###.0\ &quot;μH&quot;"/>
    <numFmt numFmtId="211" formatCode="0_);[Red]\(0\)"/>
    <numFmt numFmtId="212" formatCode="_-* #,##0.00000_-;\-* #,##0.00000_-;_-* &quot;-&quot;_-;_-@_-"/>
    <numFmt numFmtId="213" formatCode="_-* #,##0.000000_-;\-* #,##0.000000_-;_-* &quot;-&quot;_-;_-@_-"/>
    <numFmt numFmtId="214" formatCode="_-* #,##0.0000000_-;\-* #,##0.0000000_-;_-* &quot;-&quot;_-;_-@_-"/>
    <numFmt numFmtId="215" formatCode="_-* #,##0.00000000_-;\-* #,##0.00000000_-;_-* &quot;-&quot;_-;_-@_-"/>
    <numFmt numFmtId="216" formatCode="_-* #,##0.000000000_-;\-* #,##0.000000000_-;_-* &quot;-&quot;_-;_-@_-"/>
    <numFmt numFmtId="217" formatCode="###0.0\ &quot;mm&quot;"/>
    <numFmt numFmtId="218" formatCode="[$-412]yyyy&quot;년&quot;\ m&quot;월&quot;\ d&quot;일&quot;\ dddd"/>
    <numFmt numFmtId="219" formatCode="[$-412]AM/PM\ h:mm:ss"/>
    <numFmt numFmtId="220" formatCode="0.0_);[Red]\(0.0\)"/>
    <numFmt numFmtId="221" formatCode="###"/>
    <numFmt numFmtId="222" formatCode="###\ &quot;mH&quot;"/>
    <numFmt numFmtId="223" formatCode="0.0%"/>
    <numFmt numFmtId="224" formatCode="###\ &quot;μH&quot;"/>
    <numFmt numFmtId="225" formatCode="_-* #,##0.000000_-;\-* #,##0.000000_-;_-* &quot;-&quot;??????_-;_-@_-"/>
    <numFmt numFmtId="226" formatCode="###.0"/>
    <numFmt numFmtId="227" formatCode="0.0\ &quot;μH&quot;"/>
    <numFmt numFmtId="228" formatCode="0.0"/>
    <numFmt numFmtId="229" formatCode="0\ &quot;A&quot;"/>
    <numFmt numFmtId="230" formatCode="0.0\ &quot;A&quot;"/>
    <numFmt numFmtId="231" formatCode="&quot;Φ&quot;###.0"/>
    <numFmt numFmtId="232" formatCode="&quot;Φ&quot;###.00"/>
  </numFmts>
  <fonts count="114">
    <font>
      <sz val="11"/>
      <name val="돋움"/>
      <family val="3"/>
    </font>
    <font>
      <sz val="11"/>
      <color indexed="8"/>
      <name val="맑은 고딕"/>
      <family val="3"/>
    </font>
    <font>
      <b/>
      <sz val="14"/>
      <name val="Arial"/>
      <family val="2"/>
    </font>
    <font>
      <sz val="8"/>
      <name val="돋움"/>
      <family val="3"/>
    </font>
    <font>
      <b/>
      <sz val="18"/>
      <name val="Verdana"/>
      <family val="2"/>
    </font>
    <font>
      <sz val="12"/>
      <name val="돋움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돋움"/>
      <family val="3"/>
    </font>
    <font>
      <sz val="11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1"/>
      <name val="돋움"/>
      <family val="3"/>
    </font>
    <font>
      <b/>
      <sz val="11"/>
      <color indexed="10"/>
      <name val="Verdana"/>
      <family val="2"/>
    </font>
    <font>
      <b/>
      <i/>
      <sz val="10"/>
      <name val="Verdana"/>
      <family val="2"/>
    </font>
    <font>
      <b/>
      <u val="single"/>
      <sz val="11"/>
      <name val="돋움"/>
      <family val="3"/>
    </font>
    <font>
      <sz val="10"/>
      <name val="Arial Unicode MS"/>
      <family val="3"/>
    </font>
    <font>
      <sz val="20.5"/>
      <color indexed="8"/>
      <name val="돋움"/>
      <family val="3"/>
    </font>
    <font>
      <b/>
      <sz val="10"/>
      <name val="Verdana"/>
      <family val="2"/>
    </font>
    <font>
      <b/>
      <sz val="11"/>
      <color indexed="56"/>
      <name val="돋움"/>
      <family val="3"/>
    </font>
    <font>
      <sz val="10"/>
      <color indexed="9"/>
      <name val="돋움"/>
      <family val="3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돋움"/>
      <family val="3"/>
    </font>
    <font>
      <b/>
      <sz val="12"/>
      <color indexed="8"/>
      <name val="맑은 고딕"/>
      <family val="3"/>
    </font>
    <font>
      <sz val="8"/>
      <name val="Verdana"/>
      <family val="2"/>
    </font>
    <font>
      <sz val="8"/>
      <name val="맑은 고딕"/>
      <family val="3"/>
    </font>
    <font>
      <b/>
      <sz val="12"/>
      <name val="돋움"/>
      <family val="3"/>
    </font>
    <font>
      <b/>
      <vertAlign val="superscript"/>
      <sz val="12"/>
      <name val="돋움"/>
      <family val="3"/>
    </font>
    <font>
      <b/>
      <sz val="11"/>
      <color indexed="10"/>
      <name val="돋움"/>
      <family val="3"/>
    </font>
    <font>
      <sz val="9"/>
      <name val="돋움"/>
      <family val="3"/>
    </font>
    <font>
      <vertAlign val="superscript"/>
      <sz val="9"/>
      <name val="돋움"/>
      <family val="3"/>
    </font>
    <font>
      <sz val="9"/>
      <color indexed="8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돋움"/>
      <family val="3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9"/>
      <color indexed="9"/>
      <name val="Verdana"/>
      <family val="2"/>
    </font>
    <font>
      <b/>
      <sz val="12"/>
      <color indexed="12"/>
      <name val="Verdana"/>
      <family val="2"/>
    </font>
    <font>
      <sz val="11"/>
      <color indexed="9"/>
      <name val="돋움"/>
      <family val="3"/>
    </font>
    <font>
      <b/>
      <sz val="11"/>
      <color indexed="9"/>
      <name val="Verdana"/>
      <family val="2"/>
    </font>
    <font>
      <sz val="10"/>
      <color indexed="48"/>
      <name val="Verdana"/>
      <family val="2"/>
    </font>
    <font>
      <sz val="10"/>
      <color indexed="8"/>
      <name val="Arial Unicode MS"/>
      <family val="3"/>
    </font>
    <font>
      <sz val="11"/>
      <color indexed="8"/>
      <name val="돋움"/>
      <family val="3"/>
    </font>
    <font>
      <b/>
      <sz val="12"/>
      <color indexed="10"/>
      <name val="Verdana"/>
      <family val="2"/>
    </font>
    <font>
      <b/>
      <sz val="10"/>
      <color indexed="12"/>
      <name val="Verdana"/>
      <family val="2"/>
    </font>
    <font>
      <b/>
      <sz val="10"/>
      <color indexed="12"/>
      <name val="Arial Unicode MS"/>
      <family val="3"/>
    </font>
    <font>
      <b/>
      <sz val="10"/>
      <color indexed="48"/>
      <name val="Verdana"/>
      <family val="2"/>
    </font>
    <font>
      <sz val="10"/>
      <color indexed="12"/>
      <name val="Verdana"/>
      <family val="2"/>
    </font>
    <font>
      <b/>
      <sz val="12"/>
      <color indexed="48"/>
      <name val="돋움"/>
      <family val="3"/>
    </font>
    <font>
      <b/>
      <sz val="12"/>
      <color indexed="10"/>
      <name val="돋움"/>
      <family val="3"/>
    </font>
    <font>
      <b/>
      <i/>
      <sz val="10"/>
      <color indexed="8"/>
      <name val="Verdana"/>
      <family val="2"/>
    </font>
    <font>
      <sz val="9"/>
      <name val="굴림"/>
      <family val="3"/>
    </font>
    <font>
      <sz val="11.25"/>
      <color indexed="8"/>
      <name val="Verdana"/>
      <family val="2"/>
    </font>
    <font>
      <b/>
      <sz val="16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돋움"/>
      <family val="3"/>
    </font>
    <font>
      <sz val="10"/>
      <color theme="1"/>
      <name val="돋움"/>
      <family val="3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9"/>
      <color theme="0"/>
      <name val="Verdana"/>
      <family val="2"/>
    </font>
    <font>
      <b/>
      <sz val="12"/>
      <color rgb="FF0000FF"/>
      <name val="Verdana"/>
      <family val="2"/>
    </font>
    <font>
      <sz val="11"/>
      <color theme="0"/>
      <name val="돋움"/>
      <family val="3"/>
    </font>
    <font>
      <b/>
      <sz val="11"/>
      <color theme="0"/>
      <name val="Verdana"/>
      <family val="2"/>
    </font>
    <font>
      <sz val="10"/>
      <color rgb="FF3366FF"/>
      <name val="Verdana"/>
      <family val="2"/>
    </font>
    <font>
      <sz val="10"/>
      <color theme="1"/>
      <name val="Verdana"/>
      <family val="2"/>
    </font>
    <font>
      <sz val="10"/>
      <color theme="1"/>
      <name val="Arial Unicode MS"/>
      <family val="3"/>
    </font>
    <font>
      <sz val="11"/>
      <color theme="1"/>
      <name val="돋움"/>
      <family val="3"/>
    </font>
    <font>
      <b/>
      <sz val="12"/>
      <color rgb="FFFF0000"/>
      <name val="Verdana"/>
      <family val="2"/>
    </font>
    <font>
      <b/>
      <sz val="10"/>
      <color rgb="FF0000FF"/>
      <name val="Verdana"/>
      <family val="2"/>
    </font>
    <font>
      <b/>
      <sz val="10"/>
      <color rgb="FF0000FF"/>
      <name val="Arial Unicode MS"/>
      <family val="3"/>
    </font>
    <font>
      <b/>
      <sz val="10"/>
      <color rgb="FF3366FF"/>
      <name val="Verdana"/>
      <family val="2"/>
    </font>
    <font>
      <sz val="10"/>
      <color rgb="FF0000FF"/>
      <name val="Verdana"/>
      <family val="2"/>
    </font>
    <font>
      <b/>
      <sz val="12"/>
      <color rgb="FF3366FF"/>
      <name val="돋움"/>
      <family val="3"/>
    </font>
    <font>
      <b/>
      <sz val="12"/>
      <color rgb="FFFF0000"/>
      <name val="돋움"/>
      <family val="3"/>
    </font>
    <font>
      <sz val="10"/>
      <color rgb="FF3333FF"/>
      <name val="Verdana"/>
      <family val="2"/>
    </font>
    <font>
      <b/>
      <sz val="10"/>
      <color rgb="FF3333FF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rgb="FF0000FF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rgb="FF0000FF"/>
      </left>
      <right>
        <color indexed="63"/>
      </right>
      <top style="thick">
        <color rgb="FF0000FF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>
        <color indexed="63"/>
      </left>
      <right style="thick">
        <color rgb="FF0000FF"/>
      </right>
      <top style="thin"/>
      <bottom style="thick">
        <color rgb="FF0000F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>
        <color rgb="FF0000FF"/>
      </bottom>
    </border>
    <border>
      <left/>
      <right style="thin"/>
      <top style="thin"/>
      <bottom style="thick">
        <color rgb="FF0000FF"/>
      </bottom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ck">
        <color rgb="FF0000FF"/>
      </right>
      <top style="thick">
        <color rgb="FF0000FF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>
        <color rgb="FF0000FF"/>
      </right>
      <top style="thick"/>
      <bottom style="thick"/>
    </border>
    <border>
      <left style="thin"/>
      <right style="medium"/>
      <top/>
      <bottom/>
    </border>
    <border>
      <left style="thick"/>
      <right style="thick">
        <color rgb="FF0000FF"/>
      </right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>
        <color rgb="FF0000FF"/>
      </left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>
        <color rgb="FF0000FF"/>
      </left>
      <right/>
      <top style="thin"/>
      <bottom>
        <color indexed="63"/>
      </bottom>
    </border>
    <border>
      <left/>
      <right/>
      <top style="thin"/>
      <bottom/>
    </border>
    <border>
      <left style="thick">
        <color rgb="FF0000FF"/>
      </left>
      <right style="thin"/>
      <top/>
      <bottom style="thin"/>
    </border>
    <border>
      <left style="thick"/>
      <right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>
        <color rgb="FF0000FF"/>
      </left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ck"/>
    </border>
    <border>
      <left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/>
      <top style="thick"/>
      <bottom style="thick"/>
    </border>
    <border>
      <left style="thin"/>
      <right style="thin"/>
      <top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>
        <color rgb="FF0000FF"/>
      </left>
      <right style="thin"/>
      <top style="thin"/>
      <bottom/>
    </border>
    <border>
      <left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>
        <color indexed="63"/>
      </bottom>
    </border>
    <border>
      <left/>
      <right style="thin"/>
      <top style="thick"/>
      <bottom>
        <color indexed="63"/>
      </bottom>
    </border>
    <border>
      <left style="thick"/>
      <right/>
      <top>
        <color indexed="63"/>
      </top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ck">
        <color rgb="FF0000FF"/>
      </left>
      <right/>
      <top style="thin"/>
      <bottom style="thick">
        <color rgb="FF0000FF"/>
      </bottom>
    </border>
    <border>
      <left/>
      <right/>
      <top style="thin"/>
      <bottom style="thick">
        <color rgb="FF0000F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3" fillId="0" borderId="0">
      <alignment vertical="center"/>
      <protection/>
    </xf>
    <xf numFmtId="0" fontId="24" fillId="0" borderId="0">
      <alignment vertical="center"/>
      <protection/>
    </xf>
    <xf numFmtId="0" fontId="91" fillId="0" borderId="0" applyNumberFormat="0" applyFill="0" applyBorder="0" applyAlignment="0" applyProtection="0"/>
  </cellStyleXfs>
  <cellXfs count="48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182" fontId="10" fillId="0" borderId="10" xfId="48" applyNumberFormat="1" applyFont="1" applyBorder="1" applyAlignment="1">
      <alignment horizontal="center"/>
    </xf>
    <xf numFmtId="183" fontId="10" fillId="0" borderId="10" xfId="48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84" fontId="10" fillId="0" borderId="10" xfId="48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11" fontId="0" fillId="0" borderId="0" xfId="0" applyNumberFormat="1" applyAlignment="1">
      <alignment vertical="center"/>
    </xf>
    <xf numFmtId="0" fontId="9" fillId="0" borderId="0" xfId="64" applyFont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92" fillId="0" borderId="0" xfId="64" applyFont="1" applyAlignment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43" fontId="8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41" fontId="20" fillId="0" borderId="0" xfId="48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179" fontId="14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 quotePrefix="1">
      <alignment vertical="center"/>
      <protection hidden="1"/>
    </xf>
    <xf numFmtId="186" fontId="10" fillId="0" borderId="0" xfId="48" applyNumberFormat="1" applyFont="1" applyAlignment="1" applyProtection="1" quotePrefix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 quotePrefix="1">
      <alignment vertical="center"/>
      <protection hidden="1"/>
    </xf>
    <xf numFmtId="41" fontId="8" fillId="0" borderId="0" xfId="48" applyFont="1" applyBorder="1" applyAlignment="1" applyProtection="1">
      <alignment horizontal="center" vertical="center"/>
      <protection hidden="1"/>
    </xf>
    <xf numFmtId="9" fontId="8" fillId="0" borderId="0" xfId="43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1" fontId="8" fillId="0" borderId="0" xfId="0" applyNumberFormat="1" applyFont="1" applyBorder="1" applyAlignment="1" applyProtection="1">
      <alignment horizontal="center" vertical="center"/>
      <protection hidden="1"/>
    </xf>
    <xf numFmtId="41" fontId="8" fillId="0" borderId="0" xfId="0" applyNumberFormat="1" applyFont="1" applyBorder="1" applyAlignment="1" applyProtection="1">
      <alignment vertical="center"/>
      <protection hidden="1"/>
    </xf>
    <xf numFmtId="41" fontId="8" fillId="0" borderId="0" xfId="48" applyFont="1" applyFill="1" applyBorder="1" applyAlignment="1" applyProtection="1">
      <alignment horizontal="center" vertical="center"/>
      <protection hidden="1"/>
    </xf>
    <xf numFmtId="41" fontId="8" fillId="0" borderId="0" xfId="48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91" fontId="8" fillId="0" borderId="0" xfId="48" applyNumberFormat="1" applyFont="1" applyBorder="1" applyAlignment="1" applyProtection="1">
      <alignment horizontal="center" vertical="center"/>
      <protection hidden="1"/>
    </xf>
    <xf numFmtId="186" fontId="19" fillId="33" borderId="13" xfId="48" applyNumberFormat="1" applyFont="1" applyFill="1" applyBorder="1" applyAlignment="1" applyProtection="1">
      <alignment horizontal="center" vertical="center"/>
      <protection locked="0"/>
    </xf>
    <xf numFmtId="41" fontId="7" fillId="0" borderId="0" xfId="48" applyFont="1" applyBorder="1" applyAlignment="1" applyProtection="1">
      <alignment vertical="center"/>
      <protection hidden="1"/>
    </xf>
    <xf numFmtId="0" fontId="93" fillId="0" borderId="0" xfId="0" applyFont="1" applyFill="1" applyBorder="1" applyAlignment="1" applyProtection="1">
      <alignment horizontal="center" vertical="center"/>
      <protection hidden="1"/>
    </xf>
    <xf numFmtId="194" fontId="93" fillId="0" borderId="0" xfId="0" applyNumberFormat="1" applyFont="1" applyFill="1" applyBorder="1" applyAlignment="1" applyProtection="1">
      <alignment horizontal="center" vertical="center"/>
      <protection hidden="1"/>
    </xf>
    <xf numFmtId="191" fontId="93" fillId="0" borderId="0" xfId="48" applyNumberFormat="1" applyFont="1" applyFill="1" applyBorder="1" applyAlignment="1" applyProtection="1">
      <alignment horizontal="center" vertical="center"/>
      <protection hidden="1"/>
    </xf>
    <xf numFmtId="41" fontId="93" fillId="0" borderId="0" xfId="48" applyFont="1" applyFill="1" applyBorder="1" applyAlignment="1" applyProtection="1">
      <alignment horizontal="center" vertical="center"/>
      <protection hidden="1"/>
    </xf>
    <xf numFmtId="41" fontId="94" fillId="0" borderId="0" xfId="48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1" fontId="95" fillId="0" borderId="0" xfId="48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6" fillId="0" borderId="0" xfId="0" applyFont="1" applyAlignment="1" applyProtection="1">
      <alignment vertical="center"/>
      <protection hidden="1"/>
    </xf>
    <xf numFmtId="41" fontId="8" fillId="34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80" fontId="8" fillId="0" borderId="0" xfId="0" applyNumberFormat="1" applyFont="1" applyBorder="1" applyAlignment="1" applyProtection="1">
      <alignment horizontal="center" vertical="center"/>
      <protection hidden="1"/>
    </xf>
    <xf numFmtId="181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41" fontId="8" fillId="0" borderId="0" xfId="48" applyFont="1" applyFill="1" applyBorder="1" applyAlignment="1" applyProtection="1">
      <alignment vertical="center"/>
      <protection hidden="1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41" fontId="8" fillId="34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86" fontId="8" fillId="0" borderId="0" xfId="48" applyNumberFormat="1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186" fontId="8" fillId="0" borderId="0" xfId="48" applyNumberFormat="1" applyFont="1" applyFill="1" applyBorder="1" applyAlignment="1" applyProtection="1">
      <alignment vertical="center"/>
      <protection hidden="1"/>
    </xf>
    <xf numFmtId="43" fontId="22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43" fontId="17" fillId="0" borderId="0" xfId="0" applyNumberFormat="1" applyFont="1" applyBorder="1" applyAlignment="1" applyProtection="1">
      <alignment vertical="center"/>
      <protection hidden="1"/>
    </xf>
    <xf numFmtId="41" fontId="17" fillId="0" borderId="0" xfId="48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97" fillId="0" borderId="0" xfId="0" applyFont="1" applyAlignment="1" applyProtection="1">
      <alignment vertical="center"/>
      <protection hidden="1"/>
    </xf>
    <xf numFmtId="0" fontId="97" fillId="0" borderId="0" xfId="0" applyFont="1" applyFill="1" applyAlignment="1" applyProtection="1">
      <alignment vertical="center"/>
      <protection hidden="1"/>
    </xf>
    <xf numFmtId="0" fontId="98" fillId="0" borderId="0" xfId="0" applyFont="1" applyFill="1" applyAlignment="1" applyProtection="1">
      <alignment vertical="center"/>
      <protection hidden="1"/>
    </xf>
    <xf numFmtId="41" fontId="19" fillId="33" borderId="13" xfId="48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 quotePrefix="1">
      <alignment vertical="center"/>
      <protection hidden="1"/>
    </xf>
    <xf numFmtId="0" fontId="0" fillId="0" borderId="17" xfId="0" applyBorder="1" applyAlignment="1" applyProtection="1">
      <alignment horizontal="right" vertical="center"/>
      <protection hidden="1"/>
    </xf>
    <xf numFmtId="43" fontId="99" fillId="0" borderId="0" xfId="0" applyNumberFormat="1" applyFont="1" applyFill="1" applyBorder="1" applyAlignment="1" applyProtection="1">
      <alignment vertical="center"/>
      <protection hidden="1"/>
    </xf>
    <xf numFmtId="0" fontId="99" fillId="0" borderId="0" xfId="0" applyFont="1" applyBorder="1" applyAlignment="1" applyProtection="1">
      <alignment horizontal="center" vertical="center"/>
      <protection hidden="1"/>
    </xf>
    <xf numFmtId="41" fontId="25" fillId="0" borderId="0" xfId="48" applyFont="1" applyFill="1" applyBorder="1" applyAlignment="1" applyProtection="1">
      <alignment vertical="center"/>
      <protection hidden="1"/>
    </xf>
    <xf numFmtId="182" fontId="8" fillId="0" borderId="0" xfId="48" applyNumberFormat="1" applyFont="1" applyFill="1" applyBorder="1" applyAlignment="1" applyProtection="1">
      <alignment vertical="center"/>
      <protection hidden="1"/>
    </xf>
    <xf numFmtId="41" fontId="100" fillId="0" borderId="0" xfId="48" applyFont="1" applyBorder="1" applyAlignment="1" applyProtection="1">
      <alignment horizontal="center" vertical="center"/>
      <protection hidden="1"/>
    </xf>
    <xf numFmtId="0" fontId="92" fillId="0" borderId="0" xfId="0" applyFont="1" applyBorder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0" fontId="100" fillId="0" borderId="0" xfId="0" applyFont="1" applyBorder="1" applyAlignment="1" applyProtection="1">
      <alignment horizontal="center" vertical="center"/>
      <protection hidden="1"/>
    </xf>
    <xf numFmtId="41" fontId="100" fillId="0" borderId="0" xfId="0" applyNumberFormat="1" applyFont="1" applyBorder="1" applyAlignment="1" applyProtection="1">
      <alignment horizontal="center" vertical="center"/>
      <protection hidden="1"/>
    </xf>
    <xf numFmtId="41" fontId="100" fillId="0" borderId="0" xfId="0" applyNumberFormat="1" applyFont="1" applyBorder="1" applyAlignment="1" applyProtection="1">
      <alignment vertical="center"/>
      <protection hidden="1"/>
    </xf>
    <xf numFmtId="0" fontId="100" fillId="34" borderId="0" xfId="0" applyFont="1" applyFill="1" applyBorder="1" applyAlignment="1" applyProtection="1">
      <alignment vertical="center"/>
      <protection hidden="1"/>
    </xf>
    <xf numFmtId="43" fontId="101" fillId="0" borderId="0" xfId="0" applyNumberFormat="1" applyFont="1" applyBorder="1" applyAlignment="1" applyProtection="1">
      <alignment vertical="center"/>
      <protection hidden="1"/>
    </xf>
    <xf numFmtId="0" fontId="102" fillId="0" borderId="0" xfId="0" applyFont="1" applyAlignment="1" applyProtection="1">
      <alignment vertical="center"/>
      <protection hidden="1"/>
    </xf>
    <xf numFmtId="0" fontId="102" fillId="0" borderId="0" xfId="0" applyFont="1" applyFill="1" applyAlignment="1" applyProtection="1">
      <alignment vertical="center"/>
      <protection hidden="1"/>
    </xf>
    <xf numFmtId="41" fontId="100" fillId="0" borderId="0" xfId="48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vertical="center"/>
      <protection hidden="1"/>
    </xf>
    <xf numFmtId="0" fontId="103" fillId="0" borderId="0" xfId="0" applyFont="1" applyAlignment="1" applyProtection="1">
      <alignment vertical="center"/>
      <protection hidden="1"/>
    </xf>
    <xf numFmtId="41" fontId="8" fillId="34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41" fontId="25" fillId="0" borderId="0" xfId="48" applyFont="1" applyFill="1" applyBorder="1" applyAlignment="1" applyProtection="1">
      <alignment vertical="center"/>
      <protection locked="0"/>
    </xf>
    <xf numFmtId="41" fontId="104" fillId="6" borderId="20" xfId="48" applyNumberFormat="1" applyFont="1" applyFill="1" applyBorder="1" applyAlignment="1" applyProtection="1">
      <alignment horizontal="center" vertical="center"/>
      <protection hidden="1"/>
    </xf>
    <xf numFmtId="41" fontId="104" fillId="6" borderId="21" xfId="48" applyNumberFormat="1" applyFont="1" applyFill="1" applyBorder="1" applyAlignment="1" applyProtection="1">
      <alignment horizontal="center" vertical="center"/>
      <protection hidden="1"/>
    </xf>
    <xf numFmtId="41" fontId="104" fillId="6" borderId="22" xfId="48" applyNumberFormat="1" applyFont="1" applyFill="1" applyBorder="1" applyAlignment="1" applyProtection="1">
      <alignment horizontal="center" vertical="center"/>
      <protection hidden="1"/>
    </xf>
    <xf numFmtId="41" fontId="104" fillId="6" borderId="10" xfId="48" applyNumberFormat="1" applyFont="1" applyFill="1" applyBorder="1" applyAlignment="1" applyProtection="1">
      <alignment horizontal="center" vertical="center"/>
      <protection hidden="1"/>
    </xf>
    <xf numFmtId="41" fontId="105" fillId="6" borderId="21" xfId="48" applyFont="1" applyFill="1" applyBorder="1" applyAlignment="1" applyProtection="1">
      <alignment horizontal="right" vertical="center"/>
      <protection hidden="1"/>
    </xf>
    <xf numFmtId="41" fontId="105" fillId="6" borderId="23" xfId="48" applyFont="1" applyFill="1" applyBorder="1" applyAlignment="1" applyProtection="1">
      <alignment horizontal="right" vertical="center"/>
      <protection hidden="1"/>
    </xf>
    <xf numFmtId="41" fontId="105" fillId="6" borderId="10" xfId="48" applyFont="1" applyFill="1" applyBorder="1" applyAlignment="1" applyProtection="1">
      <alignment horizontal="right" vertical="center"/>
      <protection hidden="1"/>
    </xf>
    <xf numFmtId="41" fontId="105" fillId="6" borderId="24" xfId="48" applyFont="1" applyFill="1" applyBorder="1" applyAlignment="1" applyProtection="1">
      <alignment horizontal="right" vertical="center"/>
      <protection hidden="1"/>
    </xf>
    <xf numFmtId="43" fontId="105" fillId="6" borderId="22" xfId="0" applyNumberFormat="1" applyFont="1" applyFill="1" applyBorder="1" applyAlignment="1" applyProtection="1">
      <alignment horizontal="right" vertical="center"/>
      <protection hidden="1"/>
    </xf>
    <xf numFmtId="43" fontId="105" fillId="6" borderId="10" xfId="0" applyNumberFormat="1" applyFont="1" applyFill="1" applyBorder="1" applyAlignment="1" applyProtection="1">
      <alignment horizontal="right" vertical="center"/>
      <protection hidden="1"/>
    </xf>
    <xf numFmtId="43" fontId="105" fillId="6" borderId="25" xfId="0" applyNumberFormat="1" applyFont="1" applyFill="1" applyBorder="1" applyAlignment="1" applyProtection="1">
      <alignment horizontal="right" vertical="center"/>
      <protection hidden="1"/>
    </xf>
    <xf numFmtId="43" fontId="105" fillId="6" borderId="26" xfId="0" applyNumberFormat="1" applyFont="1" applyFill="1" applyBorder="1" applyAlignment="1" applyProtection="1">
      <alignment horizontal="right" vertical="center"/>
      <protection hidden="1"/>
    </xf>
    <xf numFmtId="41" fontId="105" fillId="6" borderId="26" xfId="48" applyFont="1" applyFill="1" applyBorder="1" applyAlignment="1" applyProtection="1">
      <alignment horizontal="right" vertical="center"/>
      <protection hidden="1"/>
    </xf>
    <xf numFmtId="41" fontId="105" fillId="6" borderId="27" xfId="48" applyFont="1" applyFill="1" applyBorder="1" applyAlignment="1" applyProtection="1">
      <alignment horizontal="right" vertical="center"/>
      <protection hidden="1"/>
    </xf>
    <xf numFmtId="0" fontId="96" fillId="0" borderId="28" xfId="62" applyFont="1" applyBorder="1" applyProtection="1">
      <alignment vertical="center"/>
      <protection hidden="1"/>
    </xf>
    <xf numFmtId="43" fontId="105" fillId="6" borderId="20" xfId="0" applyNumberFormat="1" applyFont="1" applyFill="1" applyBorder="1" applyAlignment="1" applyProtection="1">
      <alignment horizontal="right" vertical="center"/>
      <protection hidden="1"/>
    </xf>
    <xf numFmtId="43" fontId="105" fillId="6" borderId="21" xfId="0" applyNumberFormat="1" applyFont="1" applyFill="1" applyBorder="1" applyAlignment="1" applyProtection="1">
      <alignment horizontal="right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22" fillId="0" borderId="26" xfId="0" applyFont="1" applyBorder="1" applyAlignment="1" applyProtection="1">
      <alignment horizontal="center" vertical="center" wrapText="1"/>
      <protection hidden="1"/>
    </xf>
    <xf numFmtId="0" fontId="106" fillId="0" borderId="0" xfId="0" applyFont="1" applyFill="1" applyBorder="1" applyAlignment="1" applyProtection="1">
      <alignment horizontal="center" vertical="center"/>
      <protection hidden="1"/>
    </xf>
    <xf numFmtId="0" fontId="104" fillId="0" borderId="0" xfId="0" applyFont="1" applyFill="1" applyBorder="1" applyAlignment="1" applyProtection="1">
      <alignment horizontal="center" vertical="center"/>
      <protection hidden="1"/>
    </xf>
    <xf numFmtId="11" fontId="9" fillId="0" borderId="0" xfId="64" applyNumberFormat="1" applyFont="1" applyAlignment="1">
      <alignment horizontal="center" vertical="center"/>
      <protection/>
    </xf>
    <xf numFmtId="186" fontId="104" fillId="6" borderId="23" xfId="0" applyNumberFormat="1" applyFont="1" applyFill="1" applyBorder="1" applyAlignment="1" applyProtection="1">
      <alignment horizontal="center" vertical="center"/>
      <protection hidden="1"/>
    </xf>
    <xf numFmtId="186" fontId="104" fillId="6" borderId="24" xfId="0" applyNumberFormat="1" applyFont="1" applyFill="1" applyBorder="1" applyAlignment="1" applyProtection="1">
      <alignment horizontal="center" vertical="center"/>
      <protection hidden="1"/>
    </xf>
    <xf numFmtId="186" fontId="104" fillId="6" borderId="21" xfId="0" applyNumberFormat="1" applyFont="1" applyFill="1" applyBorder="1" applyAlignment="1" applyProtection="1">
      <alignment horizontal="center" vertical="center"/>
      <protection hidden="1"/>
    </xf>
    <xf numFmtId="186" fontId="104" fillId="6" borderId="10" xfId="0" applyNumberFormat="1" applyFont="1" applyFill="1" applyBorder="1" applyAlignment="1" applyProtection="1">
      <alignment horizontal="center" vertical="center"/>
      <protection hidden="1"/>
    </xf>
    <xf numFmtId="180" fontId="8" fillId="0" borderId="0" xfId="43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11" fontId="0" fillId="0" borderId="0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4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11" fontId="9" fillId="0" borderId="0" xfId="0" applyNumberFormat="1" applyFont="1" applyBorder="1" applyAlignment="1">
      <alignment vertical="center"/>
    </xf>
    <xf numFmtId="11" fontId="0" fillId="0" borderId="10" xfId="0" applyNumberFormat="1" applyBorder="1" applyAlignment="1">
      <alignment vertical="center"/>
    </xf>
    <xf numFmtId="11" fontId="0" fillId="0" borderId="41" xfId="0" applyNumberFormat="1" applyBorder="1" applyAlignment="1">
      <alignment vertical="center"/>
    </xf>
    <xf numFmtId="11" fontId="0" fillId="0" borderId="15" xfId="0" applyNumberFormat="1" applyBorder="1" applyAlignment="1">
      <alignment vertical="center"/>
    </xf>
    <xf numFmtId="11" fontId="0" fillId="0" borderId="31" xfId="0" applyNumberFormat="1" applyBorder="1" applyAlignment="1">
      <alignment vertical="center"/>
    </xf>
    <xf numFmtId="11" fontId="0" fillId="0" borderId="33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vertical="center"/>
      <protection hidden="1"/>
    </xf>
    <xf numFmtId="0" fontId="8" fillId="0" borderId="45" xfId="0" applyFont="1" applyBorder="1" applyAlignment="1" applyProtection="1">
      <alignment vertical="center"/>
      <protection hidden="1"/>
    </xf>
    <xf numFmtId="41" fontId="25" fillId="0" borderId="46" xfId="48" applyFont="1" applyFill="1" applyBorder="1" applyAlignment="1" applyProtection="1">
      <alignment vertical="center"/>
      <protection locked="0"/>
    </xf>
    <xf numFmtId="0" fontId="102" fillId="0" borderId="0" xfId="0" applyFont="1" applyAlignment="1">
      <alignment vertical="center"/>
    </xf>
    <xf numFmtId="43" fontId="105" fillId="0" borderId="0" xfId="0" applyNumberFormat="1" applyFont="1" applyFill="1" applyBorder="1" applyAlignment="1" applyProtection="1">
      <alignment horizontal="right" vertical="center"/>
      <protection hidden="1"/>
    </xf>
    <xf numFmtId="41" fontId="105" fillId="0" borderId="0" xfId="48" applyFont="1" applyFill="1" applyBorder="1" applyAlignment="1" applyProtection="1">
      <alignment horizontal="right" vertical="center"/>
      <protection hidden="1"/>
    </xf>
    <xf numFmtId="41" fontId="8" fillId="0" borderId="0" xfId="0" applyNumberFormat="1" applyFont="1" applyFill="1" applyBorder="1" applyAlignment="1" applyProtection="1">
      <alignment horizontal="center" vertical="center"/>
      <protection hidden="1"/>
    </xf>
    <xf numFmtId="41" fontId="104" fillId="0" borderId="0" xfId="48" applyNumberFormat="1" applyFont="1" applyFill="1" applyBorder="1" applyAlignment="1" applyProtection="1">
      <alignment horizontal="center" vertical="center"/>
      <protection hidden="1"/>
    </xf>
    <xf numFmtId="182" fontId="104" fillId="0" borderId="0" xfId="0" applyNumberFormat="1" applyFont="1" applyFill="1" applyBorder="1" applyAlignment="1" applyProtection="1">
      <alignment horizontal="center" vertical="center"/>
      <protection hidden="1"/>
    </xf>
    <xf numFmtId="205" fontId="104" fillId="0" borderId="0" xfId="0" applyNumberFormat="1" applyFont="1" applyFill="1" applyBorder="1" applyAlignment="1" applyProtection="1">
      <alignment horizontal="center" vertical="center"/>
      <protection hidden="1"/>
    </xf>
    <xf numFmtId="41" fontId="8" fillId="34" borderId="40" xfId="0" applyNumberFormat="1" applyFont="1" applyFill="1" applyBorder="1" applyAlignment="1" applyProtection="1">
      <alignment horizontal="center" vertical="center"/>
      <protection hidden="1"/>
    </xf>
    <xf numFmtId="186" fontId="104" fillId="6" borderId="26" xfId="0" applyNumberFormat="1" applyFont="1" applyFill="1" applyBorder="1" applyAlignment="1" applyProtection="1">
      <alignment horizontal="center" vertical="center"/>
      <protection hidden="1"/>
    </xf>
    <xf numFmtId="186" fontId="104" fillId="6" borderId="27" xfId="0" applyNumberFormat="1" applyFont="1" applyFill="1" applyBorder="1" applyAlignment="1" applyProtection="1">
      <alignment horizontal="center" vertical="center"/>
      <protection hidden="1"/>
    </xf>
    <xf numFmtId="186" fontId="104" fillId="0" borderId="0" xfId="48" applyNumberFormat="1" applyFont="1" applyFill="1" applyBorder="1" applyAlignment="1" applyProtection="1">
      <alignment horizontal="center" vertical="center"/>
      <protection hidden="1"/>
    </xf>
    <xf numFmtId="186" fontId="107" fillId="0" borderId="0" xfId="48" applyNumberFormat="1" applyFont="1" applyFill="1" applyBorder="1" applyAlignment="1" applyProtection="1">
      <alignment horizontal="center" vertical="center"/>
      <protection hidden="1"/>
    </xf>
    <xf numFmtId="0" fontId="10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28" fillId="0" borderId="47" xfId="0" applyFont="1" applyBorder="1" applyAlignment="1">
      <alignment horizontal="center" vertical="center"/>
    </xf>
    <xf numFmtId="210" fontId="108" fillId="0" borderId="47" xfId="0" applyNumberFormat="1" applyFont="1" applyBorder="1" applyAlignment="1">
      <alignment vertical="center"/>
    </xf>
    <xf numFmtId="208" fontId="108" fillId="0" borderId="47" xfId="0" applyNumberFormat="1" applyFont="1" applyBorder="1" applyAlignment="1">
      <alignment vertical="center"/>
    </xf>
    <xf numFmtId="0" fontId="109" fillId="0" borderId="47" xfId="0" applyFont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181" fontId="0" fillId="0" borderId="33" xfId="0" applyNumberFormat="1" applyBorder="1" applyAlignment="1">
      <alignment vertical="center"/>
    </xf>
    <xf numFmtId="181" fontId="0" fillId="0" borderId="42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220" fontId="8" fillId="34" borderId="40" xfId="0" applyNumberFormat="1" applyFont="1" applyFill="1" applyBorder="1" applyAlignment="1" applyProtection="1">
      <alignment horizontal="center" vertical="center"/>
      <protection hidden="1"/>
    </xf>
    <xf numFmtId="220" fontId="8" fillId="34" borderId="18" xfId="0" applyNumberFormat="1" applyFont="1" applyFill="1" applyBorder="1" applyAlignment="1" applyProtection="1">
      <alignment horizontal="center" vertical="center"/>
      <protection hidden="1"/>
    </xf>
    <xf numFmtId="190" fontId="8" fillId="0" borderId="0" xfId="0" applyNumberFormat="1" applyFont="1" applyFill="1" applyBorder="1" applyAlignment="1" applyProtection="1">
      <alignment horizontal="center" vertical="center"/>
      <protection hidden="1"/>
    </xf>
    <xf numFmtId="211" fontId="8" fillId="34" borderId="18" xfId="0" applyNumberFormat="1" applyFont="1" applyFill="1" applyBorder="1" applyAlignment="1" applyProtection="1">
      <alignment horizontal="center" vertical="center"/>
      <protection hidden="1"/>
    </xf>
    <xf numFmtId="211" fontId="8" fillId="34" borderId="40" xfId="0" applyNumberFormat="1" applyFont="1" applyFill="1" applyBorder="1" applyAlignment="1" applyProtection="1">
      <alignment horizontal="center" vertical="center"/>
      <protection hidden="1"/>
    </xf>
    <xf numFmtId="186" fontId="15" fillId="0" borderId="18" xfId="48" applyNumberFormat="1" applyFont="1" applyFill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217" fontId="19" fillId="0" borderId="49" xfId="0" applyNumberFormat="1" applyFont="1" applyFill="1" applyBorder="1" applyAlignment="1" applyProtection="1">
      <alignment horizontal="center" vertical="center"/>
      <protection hidden="1"/>
    </xf>
    <xf numFmtId="217" fontId="19" fillId="0" borderId="50" xfId="0" applyNumberFormat="1" applyFont="1" applyFill="1" applyBorder="1" applyAlignment="1" applyProtection="1">
      <alignment horizontal="center" vertical="center"/>
      <protection hidden="1"/>
    </xf>
    <xf numFmtId="177" fontId="0" fillId="0" borderId="33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41" fontId="104" fillId="6" borderId="25" xfId="48" applyNumberFormat="1" applyFont="1" applyFill="1" applyBorder="1" applyAlignment="1" applyProtection="1">
      <alignment horizontal="center" vertical="center"/>
      <protection hidden="1"/>
    </xf>
    <xf numFmtId="41" fontId="104" fillId="6" borderId="26" xfId="48" applyNumberFormat="1" applyFont="1" applyFill="1" applyBorder="1" applyAlignment="1" applyProtection="1">
      <alignment horizontal="center" vertical="center"/>
      <protection hidden="1"/>
    </xf>
    <xf numFmtId="222" fontId="8" fillId="34" borderId="16" xfId="0" applyNumberFormat="1" applyFont="1" applyFill="1" applyBorder="1" applyAlignment="1" applyProtection="1">
      <alignment horizontal="center" vertical="center"/>
      <protection hidden="1"/>
    </xf>
    <xf numFmtId="221" fontId="19" fillId="34" borderId="42" xfId="0" applyNumberFormat="1" applyFont="1" applyFill="1" applyBorder="1" applyAlignment="1" applyProtection="1">
      <alignment horizontal="center" vertical="center"/>
      <protection hidden="1"/>
    </xf>
    <xf numFmtId="0" fontId="19" fillId="34" borderId="34" xfId="0" applyFont="1" applyFill="1" applyBorder="1" applyAlignment="1" applyProtection="1">
      <alignment horizontal="center" vertical="center"/>
      <protection hidden="1"/>
    </xf>
    <xf numFmtId="0" fontId="19" fillId="34" borderId="35" xfId="0" applyFont="1" applyFill="1" applyBorder="1" applyAlignment="1" applyProtection="1">
      <alignment horizontal="center" vertical="center"/>
      <protection hidden="1"/>
    </xf>
    <xf numFmtId="223" fontId="8" fillId="0" borderId="51" xfId="43" applyNumberFormat="1" applyFont="1" applyBorder="1" applyAlignment="1" applyProtection="1">
      <alignment vertical="center"/>
      <protection hidden="1"/>
    </xf>
    <xf numFmtId="49" fontId="5" fillId="0" borderId="33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49" fontId="5" fillId="0" borderId="4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8" fillId="0" borderId="5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186" fontId="15" fillId="0" borderId="56" xfId="48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18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19" fillId="34" borderId="57" xfId="0" applyFont="1" applyFill="1" applyBorder="1" applyAlignment="1" applyProtection="1">
      <alignment horizontal="center" vertical="center"/>
      <protection hidden="1"/>
    </xf>
    <xf numFmtId="0" fontId="19" fillId="34" borderId="58" xfId="0" applyFont="1" applyFill="1" applyBorder="1" applyAlignment="1" applyProtection="1">
      <alignment horizontal="center" vertical="center"/>
      <protection hidden="1"/>
    </xf>
    <xf numFmtId="180" fontId="8" fillId="34" borderId="0" xfId="43" applyNumberFormat="1" applyFont="1" applyFill="1" applyBorder="1" applyAlignment="1" applyProtection="1">
      <alignment horizontal="center" vertical="center"/>
      <protection hidden="1"/>
    </xf>
    <xf numFmtId="41" fontId="7" fillId="0" borderId="0" xfId="48" applyFont="1" applyBorder="1" applyAlignment="1" applyProtection="1">
      <alignment horizontal="center" vertical="center"/>
      <protection hidden="1"/>
    </xf>
    <xf numFmtId="0" fontId="9" fillId="0" borderId="0" xfId="64" applyFont="1" applyAlignment="1">
      <alignment horizontal="left" vertical="center"/>
      <protection/>
    </xf>
    <xf numFmtId="228" fontId="110" fillId="6" borderId="29" xfId="48" applyNumberFormat="1" applyFont="1" applyFill="1" applyBorder="1" applyAlignment="1" applyProtection="1">
      <alignment horizontal="center" vertical="center"/>
      <protection hidden="1"/>
    </xf>
    <xf numFmtId="228" fontId="110" fillId="6" borderId="51" xfId="48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1" fillId="0" borderId="57" xfId="0" applyFont="1" applyBorder="1" applyAlignment="1">
      <alignment horizontal="right" vertical="center"/>
    </xf>
    <xf numFmtId="0" fontId="24" fillId="0" borderId="5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vertical="center"/>
    </xf>
    <xf numFmtId="181" fontId="9" fillId="0" borderId="59" xfId="0" applyNumberFormat="1" applyFont="1" applyBorder="1" applyAlignment="1">
      <alignment vertical="center"/>
    </xf>
    <xf numFmtId="204" fontId="9" fillId="0" borderId="10" xfId="0" applyNumberFormat="1" applyFont="1" applyBorder="1" applyAlignment="1">
      <alignment horizontal="center" vertical="center"/>
    </xf>
    <xf numFmtId="204" fontId="9" fillId="0" borderId="41" xfId="0" applyNumberFormat="1" applyFont="1" applyBorder="1" applyAlignment="1">
      <alignment horizontal="center" vertical="center"/>
    </xf>
    <xf numFmtId="204" fontId="31" fillId="0" borderId="0" xfId="0" applyNumberFormat="1" applyFont="1" applyAlignment="1">
      <alignment vertical="center"/>
    </xf>
    <xf numFmtId="179" fontId="31" fillId="0" borderId="0" xfId="0" applyNumberFormat="1" applyFont="1" applyAlignment="1">
      <alignment vertical="center"/>
    </xf>
    <xf numFmtId="0" fontId="31" fillId="0" borderId="58" xfId="0" applyFont="1" applyBorder="1" applyAlignment="1">
      <alignment horizontal="right" vertical="center"/>
    </xf>
    <xf numFmtId="0" fontId="24" fillId="0" borderId="6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180" fontId="9" fillId="0" borderId="15" xfId="0" applyNumberFormat="1" applyFont="1" applyBorder="1" applyAlignment="1">
      <alignment horizontal="right" vertical="center"/>
    </xf>
    <xf numFmtId="181" fontId="9" fillId="0" borderId="60" xfId="0" applyNumberFormat="1" applyFont="1" applyBorder="1" applyAlignment="1">
      <alignment vertical="center"/>
    </xf>
    <xf numFmtId="204" fontId="9" fillId="0" borderId="15" xfId="0" applyNumberFormat="1" applyFont="1" applyBorder="1" applyAlignment="1">
      <alignment horizontal="center" vertical="center"/>
    </xf>
    <xf numFmtId="204" fontId="9" fillId="0" borderId="30" xfId="0" applyNumberFormat="1" applyFont="1" applyBorder="1" applyAlignment="1">
      <alignment horizontal="center" vertical="center"/>
    </xf>
    <xf numFmtId="0" fontId="31" fillId="0" borderId="61" xfId="0" applyFont="1" applyBorder="1" applyAlignment="1">
      <alignment horizontal="right" vertical="center"/>
    </xf>
    <xf numFmtId="0" fontId="24" fillId="0" borderId="62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180" fontId="9" fillId="0" borderId="33" xfId="0" applyNumberFormat="1" applyFont="1" applyBorder="1" applyAlignment="1">
      <alignment horizontal="right" vertical="center"/>
    </xf>
    <xf numFmtId="181" fontId="9" fillId="0" borderId="62" xfId="0" applyNumberFormat="1" applyFont="1" applyBorder="1" applyAlignment="1">
      <alignment vertical="center"/>
    </xf>
    <xf numFmtId="204" fontId="9" fillId="0" borderId="33" xfId="0" applyNumberFormat="1" applyFont="1" applyBorder="1" applyAlignment="1">
      <alignment horizontal="center" vertical="center"/>
    </xf>
    <xf numFmtId="204" fontId="9" fillId="0" borderId="42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104" fillId="6" borderId="63" xfId="0" applyFont="1" applyFill="1" applyBorder="1" applyAlignment="1" applyProtection="1">
      <alignment horizontal="center" vertical="center"/>
      <protection hidden="1"/>
    </xf>
    <xf numFmtId="0" fontId="104" fillId="6" borderId="64" xfId="0" applyFont="1" applyFill="1" applyBorder="1" applyAlignment="1" applyProtection="1">
      <alignment horizontal="center" vertical="center"/>
      <protection hidden="1"/>
    </xf>
    <xf numFmtId="0" fontId="104" fillId="6" borderId="65" xfId="0" applyFont="1" applyFill="1" applyBorder="1" applyAlignment="1" applyProtection="1">
      <alignment horizontal="center" vertical="center"/>
      <protection hidden="1"/>
    </xf>
    <xf numFmtId="230" fontId="8" fillId="0" borderId="34" xfId="48" applyNumberFormat="1" applyFont="1" applyBorder="1" applyAlignment="1" applyProtection="1">
      <alignment horizontal="center" vertical="center"/>
      <protection hidden="1"/>
    </xf>
    <xf numFmtId="230" fontId="106" fillId="0" borderId="34" xfId="48" applyNumberFormat="1" applyFont="1" applyFill="1" applyBorder="1" applyAlignment="1" applyProtection="1">
      <alignment horizontal="center" vertical="center"/>
      <protection hidden="1"/>
    </xf>
    <xf numFmtId="230" fontId="8" fillId="0" borderId="35" xfId="48" applyNumberFormat="1" applyFont="1" applyBorder="1" applyAlignment="1" applyProtection="1">
      <alignment horizontal="center" vertical="center"/>
      <protection hidden="1"/>
    </xf>
    <xf numFmtId="0" fontId="31" fillId="0" borderId="66" xfId="0" applyFont="1" applyBorder="1" applyAlignment="1">
      <alignment horizontal="right" vertical="center"/>
    </xf>
    <xf numFmtId="0" fontId="24" fillId="0" borderId="67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180" fontId="9" fillId="0" borderId="14" xfId="0" applyNumberFormat="1" applyFont="1" applyBorder="1" applyAlignment="1">
      <alignment horizontal="right" vertical="center"/>
    </xf>
    <xf numFmtId="181" fontId="9" fillId="0" borderId="67" xfId="0" applyNumberFormat="1" applyFont="1" applyBorder="1" applyAlignment="1">
      <alignment vertical="center"/>
    </xf>
    <xf numFmtId="204" fontId="9" fillId="0" borderId="14" xfId="0" applyNumberFormat="1" applyFont="1" applyBorder="1" applyAlignment="1">
      <alignment horizontal="center" vertical="center"/>
    </xf>
    <xf numFmtId="204" fontId="9" fillId="0" borderId="16" xfId="0" applyNumberFormat="1" applyFont="1" applyBorder="1" applyAlignment="1">
      <alignment horizontal="center" vertical="center"/>
    </xf>
    <xf numFmtId="186" fontId="19" fillId="35" borderId="13" xfId="48" applyNumberFormat="1" applyFont="1" applyFill="1" applyBorder="1" applyAlignment="1" applyProtection="1">
      <alignment horizontal="center" vertical="center"/>
      <protection hidden="1"/>
    </xf>
    <xf numFmtId="230" fontId="19" fillId="0" borderId="34" xfId="48" applyNumberFormat="1" applyFont="1" applyBorder="1" applyAlignment="1" applyProtection="1">
      <alignment horizontal="center" vertical="center"/>
      <protection hidden="1"/>
    </xf>
    <xf numFmtId="186" fontId="19" fillId="35" borderId="13" xfId="48" applyNumberFormat="1" applyFont="1" applyFill="1" applyBorder="1" applyAlignment="1" applyProtection="1">
      <alignment vertical="center"/>
      <protection hidden="1"/>
    </xf>
    <xf numFmtId="210" fontId="111" fillId="6" borderId="65" xfId="48" applyNumberFormat="1" applyFont="1" applyFill="1" applyBorder="1" applyAlignment="1" applyProtection="1">
      <alignment horizontal="center" vertical="center"/>
      <protection hidden="1"/>
    </xf>
    <xf numFmtId="41" fontId="111" fillId="6" borderId="68" xfId="48" applyFont="1" applyFill="1" applyBorder="1" applyAlignment="1" applyProtection="1">
      <alignment horizontal="center" vertical="center"/>
      <protection hidden="1"/>
    </xf>
    <xf numFmtId="208" fontId="19" fillId="35" borderId="13" xfId="43" applyNumberFormat="1" applyFont="1" applyFill="1" applyBorder="1" applyAlignment="1" applyProtection="1">
      <alignment vertical="center"/>
      <protection locked="0"/>
    </xf>
    <xf numFmtId="41" fontId="19" fillId="35" borderId="69" xfId="48" applyNumberFormat="1" applyFont="1" applyFill="1" applyBorder="1" applyAlignment="1" applyProtection="1">
      <alignment horizontal="center" vertical="center"/>
      <protection locked="0"/>
    </xf>
    <xf numFmtId="228" fontId="111" fillId="6" borderId="70" xfId="48" applyNumberFormat="1" applyFont="1" applyFill="1" applyBorder="1" applyAlignment="1" applyProtection="1">
      <alignment horizontal="center" vertical="center"/>
      <protection hidden="1"/>
    </xf>
    <xf numFmtId="186" fontId="104" fillId="6" borderId="69" xfId="48" applyNumberFormat="1" applyFont="1" applyFill="1" applyBorder="1" applyAlignment="1" applyProtection="1">
      <alignment horizontal="center" vertical="center"/>
      <protection hidden="1"/>
    </xf>
    <xf numFmtId="186" fontId="111" fillId="6" borderId="71" xfId="48" applyNumberFormat="1" applyFont="1" applyFill="1" applyBorder="1" applyAlignment="1" applyProtection="1">
      <alignment horizontal="center" vertical="center"/>
      <protection hidden="1"/>
    </xf>
    <xf numFmtId="203" fontId="111" fillId="6" borderId="69" xfId="0" applyNumberFormat="1" applyFont="1" applyFill="1" applyBorder="1" applyAlignment="1" applyProtection="1">
      <alignment vertical="center"/>
      <protection hidden="1"/>
    </xf>
    <xf numFmtId="180" fontId="112" fillId="0" borderId="49" xfId="0" applyNumberFormat="1" applyFont="1" applyFill="1" applyBorder="1" applyAlignment="1" applyProtection="1">
      <alignment horizontal="right" vertical="center"/>
      <protection hidden="1"/>
    </xf>
    <xf numFmtId="180" fontId="112" fillId="0" borderId="50" xfId="0" applyNumberFormat="1" applyFont="1" applyFill="1" applyBorder="1" applyAlignment="1" applyProtection="1">
      <alignment horizontal="right" vertical="center"/>
      <protection hidden="1"/>
    </xf>
    <xf numFmtId="217" fontId="19" fillId="0" borderId="49" xfId="0" applyNumberFormat="1" applyFont="1" applyBorder="1" applyAlignment="1" applyProtection="1">
      <alignment horizontal="center" vertical="center"/>
      <protection hidden="1"/>
    </xf>
    <xf numFmtId="217" fontId="19" fillId="0" borderId="50" xfId="0" applyNumberFormat="1" applyFont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right" vertical="center"/>
      <protection hidden="1"/>
    </xf>
    <xf numFmtId="0" fontId="19" fillId="0" borderId="50" xfId="0" applyFont="1" applyFill="1" applyBorder="1" applyAlignment="1" applyProtection="1">
      <alignment horizontal="right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59" xfId="0" applyFont="1" applyFill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36" borderId="73" xfId="0" applyFont="1" applyFill="1" applyBorder="1" applyAlignment="1" applyProtection="1">
      <alignment horizontal="center" vertical="center"/>
      <protection hidden="1"/>
    </xf>
    <xf numFmtId="0" fontId="19" fillId="36" borderId="74" xfId="0" applyFont="1" applyFill="1" applyBorder="1" applyAlignment="1" applyProtection="1">
      <alignment horizontal="center" vertical="center"/>
      <protection hidden="1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6" xfId="0" applyFont="1" applyFill="1" applyBorder="1" applyAlignment="1" applyProtection="1">
      <alignment horizontal="center" vertical="center"/>
      <protection hidden="1"/>
    </xf>
    <xf numFmtId="177" fontId="8" fillId="0" borderId="77" xfId="0" applyNumberFormat="1" applyFont="1" applyBorder="1" applyAlignment="1" applyProtection="1">
      <alignment horizontal="center"/>
      <protection hidden="1"/>
    </xf>
    <xf numFmtId="177" fontId="8" fillId="0" borderId="31" xfId="0" applyNumberFormat="1" applyFont="1" applyBorder="1" applyAlignment="1" applyProtection="1">
      <alignment horizontal="center"/>
      <protection hidden="1"/>
    </xf>
    <xf numFmtId="177" fontId="8" fillId="0" borderId="52" xfId="0" applyNumberFormat="1" applyFont="1" applyBorder="1" applyAlignment="1" applyProtection="1">
      <alignment horizontal="center"/>
      <protection hidden="1"/>
    </xf>
    <xf numFmtId="0" fontId="19" fillId="36" borderId="78" xfId="0" applyFont="1" applyFill="1" applyBorder="1" applyAlignment="1" applyProtection="1">
      <alignment horizontal="center" vertical="center"/>
      <protection hidden="1"/>
    </xf>
    <xf numFmtId="0" fontId="19" fillId="36" borderId="79" xfId="0" applyFont="1" applyFill="1" applyBorder="1" applyAlignment="1" applyProtection="1">
      <alignment horizontal="center" vertical="center"/>
      <protection hidden="1"/>
    </xf>
    <xf numFmtId="0" fontId="8" fillId="0" borderId="80" xfId="0" applyFont="1" applyBorder="1" applyAlignment="1" applyProtection="1">
      <alignment horizontal="center" vertical="center"/>
      <protection hidden="1"/>
    </xf>
    <xf numFmtId="0" fontId="8" fillId="0" borderId="81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180" fontId="100" fillId="0" borderId="82" xfId="0" applyNumberFormat="1" applyFont="1" applyFill="1" applyBorder="1" applyAlignment="1" applyProtection="1">
      <alignment horizontal="right" vertical="center"/>
      <protection hidden="1"/>
    </xf>
    <xf numFmtId="180" fontId="100" fillId="0" borderId="83" xfId="0" applyNumberFormat="1" applyFont="1" applyFill="1" applyBorder="1" applyAlignment="1" applyProtection="1">
      <alignment horizontal="right" vertical="center"/>
      <protection hidden="1"/>
    </xf>
    <xf numFmtId="182" fontId="8" fillId="0" borderId="10" xfId="48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228" fontId="107" fillId="6" borderId="31" xfId="48" applyNumberFormat="1" applyFont="1" applyFill="1" applyBorder="1" applyAlignment="1" applyProtection="1">
      <alignment horizontal="center" vertical="center"/>
      <protection hidden="1"/>
    </xf>
    <xf numFmtId="204" fontId="7" fillId="0" borderId="0" xfId="48" applyNumberFormat="1" applyFont="1" applyFill="1" applyBorder="1" applyAlignment="1" applyProtection="1">
      <alignment horizontal="center" vertical="center"/>
      <protection hidden="1"/>
    </xf>
    <xf numFmtId="210" fontId="104" fillId="6" borderId="63" xfId="48" applyNumberFormat="1" applyFont="1" applyFill="1" applyBorder="1" applyAlignment="1" applyProtection="1">
      <alignment horizontal="center" vertical="center"/>
      <protection hidden="1"/>
    </xf>
    <xf numFmtId="210" fontId="104" fillId="6" borderId="64" xfId="48" applyNumberFormat="1" applyFont="1" applyFill="1" applyBorder="1" applyAlignment="1" applyProtection="1">
      <alignment horizontal="center" vertical="center"/>
      <protection hidden="1"/>
    </xf>
    <xf numFmtId="194" fontId="8" fillId="0" borderId="0" xfId="0" applyNumberFormat="1" applyFont="1" applyFill="1" applyBorder="1" applyAlignment="1" applyProtection="1">
      <alignment horizontal="center" vertical="center"/>
      <protection hidden="1"/>
    </xf>
    <xf numFmtId="210" fontId="104" fillId="6" borderId="84" xfId="48" applyNumberFormat="1" applyFont="1" applyFill="1" applyBorder="1" applyAlignment="1" applyProtection="1">
      <alignment horizontal="center" vertical="center"/>
      <protection hidden="1"/>
    </xf>
    <xf numFmtId="210" fontId="104" fillId="6" borderId="85" xfId="48" applyNumberFormat="1" applyFont="1" applyFill="1" applyBorder="1" applyAlignment="1" applyProtection="1">
      <alignment horizontal="center" vertical="center"/>
      <protection hidden="1"/>
    </xf>
    <xf numFmtId="180" fontId="8" fillId="34" borderId="0" xfId="43" applyNumberFormat="1" applyFont="1" applyFill="1" applyBorder="1" applyAlignment="1" applyProtection="1">
      <alignment horizontal="center" vertical="center"/>
      <protection hidden="1"/>
    </xf>
    <xf numFmtId="41" fontId="7" fillId="0" borderId="86" xfId="48" applyFont="1" applyFill="1" applyBorder="1" applyAlignment="1" applyProtection="1">
      <alignment horizontal="center" vertical="center"/>
      <protection hidden="1"/>
    </xf>
    <xf numFmtId="41" fontId="7" fillId="0" borderId="87" xfId="48" applyFont="1" applyFill="1" applyBorder="1" applyAlignment="1" applyProtection="1">
      <alignment horizontal="center" vertical="center"/>
      <protection hidden="1"/>
    </xf>
    <xf numFmtId="41" fontId="8" fillId="34" borderId="0" xfId="48" applyFont="1" applyFill="1" applyBorder="1" applyAlignment="1" applyProtection="1">
      <alignment horizontal="center" vertical="center"/>
      <protection hidden="1"/>
    </xf>
    <xf numFmtId="41" fontId="7" fillId="0" borderId="0" xfId="48" applyFont="1" applyBorder="1" applyAlignment="1" applyProtection="1">
      <alignment horizontal="center" vertical="center"/>
      <protection hidden="1"/>
    </xf>
    <xf numFmtId="41" fontId="8" fillId="0" borderId="0" xfId="48" applyFont="1" applyBorder="1" applyAlignment="1" applyProtection="1">
      <alignment horizontal="center" vertical="center"/>
      <protection hidden="1"/>
    </xf>
    <xf numFmtId="41" fontId="8" fillId="0" borderId="0" xfId="48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82" fontId="8" fillId="0" borderId="0" xfId="48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41" fontId="7" fillId="0" borderId="0" xfId="48" applyFont="1" applyFill="1" applyBorder="1" applyAlignment="1" applyProtection="1">
      <alignment horizontal="center" vertical="center"/>
      <protection hidden="1"/>
    </xf>
    <xf numFmtId="192" fontId="8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0" fontId="7" fillId="0" borderId="84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228" fontId="107" fillId="6" borderId="88" xfId="48" applyNumberFormat="1" applyFont="1" applyFill="1" applyBorder="1" applyAlignment="1" applyProtection="1">
      <alignment horizontal="center" vertical="center"/>
      <protection hidden="1"/>
    </xf>
    <xf numFmtId="228" fontId="107" fillId="6" borderId="89" xfId="48" applyNumberFormat="1" applyFont="1" applyFill="1" applyBorder="1" applyAlignment="1" applyProtection="1">
      <alignment horizontal="center" vertical="center"/>
      <protection hidden="1"/>
    </xf>
    <xf numFmtId="223" fontId="8" fillId="34" borderId="90" xfId="43" applyNumberFormat="1" applyFont="1" applyFill="1" applyBorder="1" applyAlignment="1" applyProtection="1">
      <alignment horizontal="center" vertical="center"/>
      <protection hidden="1"/>
    </xf>
    <xf numFmtId="223" fontId="8" fillId="34" borderId="91" xfId="43" applyNumberFormat="1" applyFont="1" applyFill="1" applyBorder="1" applyAlignment="1" applyProtection="1">
      <alignment horizontal="center" vertical="center"/>
      <protection hidden="1"/>
    </xf>
    <xf numFmtId="182" fontId="8" fillId="0" borderId="0" xfId="48" applyNumberFormat="1" applyFont="1" applyFill="1" applyBorder="1" applyAlignment="1" applyProtection="1">
      <alignment horizontal="center" vertical="center"/>
      <protection hidden="1"/>
    </xf>
    <xf numFmtId="41" fontId="113" fillId="0" borderId="0" xfId="48" applyFont="1" applyFill="1" applyBorder="1" applyAlignment="1" applyProtection="1">
      <alignment horizontal="center" vertical="center"/>
      <protection hidden="1"/>
    </xf>
    <xf numFmtId="41" fontId="8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92" xfId="0" applyFont="1" applyFill="1" applyBorder="1" applyAlignment="1" applyProtection="1">
      <alignment horizontal="center" vertical="center"/>
      <protection hidden="1"/>
    </xf>
    <xf numFmtId="0" fontId="7" fillId="0" borderId="74" xfId="0" applyFont="1" applyFill="1" applyBorder="1" applyAlignment="1" applyProtection="1">
      <alignment horizontal="center" vertical="center"/>
      <protection hidden="1"/>
    </xf>
    <xf numFmtId="228" fontId="111" fillId="6" borderId="93" xfId="48" applyNumberFormat="1" applyFont="1" applyFill="1" applyBorder="1" applyAlignment="1" applyProtection="1">
      <alignment horizontal="center" vertical="center"/>
      <protection hidden="1"/>
    </xf>
    <xf numFmtId="0" fontId="19" fillId="0" borderId="37" xfId="0" applyFont="1" applyFill="1" applyBorder="1" applyAlignment="1" applyProtection="1">
      <alignment horizontal="center" vertical="center"/>
      <protection hidden="1"/>
    </xf>
    <xf numFmtId="0" fontId="19" fillId="0" borderId="36" xfId="0" applyFont="1" applyFill="1" applyBorder="1" applyAlignment="1" applyProtection="1">
      <alignment horizontal="center" vertical="center"/>
      <protection hidden="1"/>
    </xf>
    <xf numFmtId="0" fontId="8" fillId="0" borderId="94" xfId="0" applyFont="1" applyFill="1" applyBorder="1" applyAlignment="1" applyProtection="1">
      <alignment horizontal="center" vertical="center"/>
      <protection hidden="1"/>
    </xf>
    <xf numFmtId="0" fontId="8" fillId="0" borderId="95" xfId="0" applyFont="1" applyFill="1" applyBorder="1" applyAlignment="1" applyProtection="1">
      <alignment horizontal="center" vertical="center"/>
      <protection hidden="1"/>
    </xf>
    <xf numFmtId="198" fontId="19" fillId="33" borderId="74" xfId="0" applyNumberFormat="1" applyFont="1" applyFill="1" applyBorder="1" applyAlignment="1" applyProtection="1">
      <alignment horizontal="right" vertical="center"/>
      <protection locked="0"/>
    </xf>
    <xf numFmtId="198" fontId="19" fillId="33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96" xfId="0" applyFont="1" applyBorder="1" applyAlignment="1" applyProtection="1">
      <alignment horizontal="center" vertical="center"/>
      <protection hidden="1"/>
    </xf>
    <xf numFmtId="0" fontId="19" fillId="36" borderId="92" xfId="0" applyFont="1" applyFill="1" applyBorder="1" applyAlignment="1" applyProtection="1">
      <alignment horizontal="center" vertical="center"/>
      <protection hidden="1"/>
    </xf>
    <xf numFmtId="180" fontId="104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76" fontId="104" fillId="0" borderId="0" xfId="0" applyNumberFormat="1" applyFont="1" applyFill="1" applyBorder="1" applyAlignment="1" applyProtection="1">
      <alignment horizontal="center" vertical="center"/>
      <protection hidden="1"/>
    </xf>
    <xf numFmtId="204" fontId="7" fillId="0" borderId="97" xfId="48" applyNumberFormat="1" applyFont="1" applyFill="1" applyBorder="1" applyAlignment="1" applyProtection="1">
      <alignment horizontal="center" vertical="center"/>
      <protection hidden="1"/>
    </xf>
    <xf numFmtId="204" fontId="7" fillId="0" borderId="98" xfId="48" applyNumberFormat="1" applyFont="1" applyFill="1" applyBorder="1" applyAlignment="1" applyProtection="1">
      <alignment horizontal="center" vertical="center"/>
      <protection hidden="1"/>
    </xf>
    <xf numFmtId="41" fontId="8" fillId="0" borderId="99" xfId="48" applyFont="1" applyBorder="1" applyAlignment="1" applyProtection="1">
      <alignment horizontal="center" vertical="center"/>
      <protection hidden="1"/>
    </xf>
    <xf numFmtId="41" fontId="8" fillId="0" borderId="100" xfId="48" applyFont="1" applyBorder="1" applyAlignment="1" applyProtection="1">
      <alignment horizontal="center" vertical="center"/>
      <protection hidden="1"/>
    </xf>
    <xf numFmtId="0" fontId="8" fillId="0" borderId="10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53" xfId="0" applyFont="1" applyBorder="1" applyAlignment="1" applyProtection="1">
      <alignment horizontal="center" vertical="center"/>
      <protection hidden="1"/>
    </xf>
    <xf numFmtId="223" fontId="8" fillId="34" borderId="100" xfId="43" applyNumberFormat="1" applyFont="1" applyFill="1" applyBorder="1" applyAlignment="1" applyProtection="1">
      <alignment horizontal="center" vertical="center"/>
      <protection hidden="1"/>
    </xf>
    <xf numFmtId="228" fontId="107" fillId="6" borderId="100" xfId="48" applyNumberFormat="1" applyFont="1" applyFill="1" applyBorder="1" applyAlignment="1" applyProtection="1">
      <alignment horizontal="center" vertical="center"/>
      <protection hidden="1"/>
    </xf>
    <xf numFmtId="222" fontId="8" fillId="0" borderId="82" xfId="0" applyNumberFormat="1" applyFont="1" applyFill="1" applyBorder="1" applyAlignment="1" applyProtection="1">
      <alignment horizontal="center" vertical="center"/>
      <protection hidden="1"/>
    </xf>
    <xf numFmtId="222" fontId="8" fillId="0" borderId="102" xfId="0" applyNumberFormat="1" applyFont="1" applyFill="1" applyBorder="1" applyAlignment="1" applyProtection="1">
      <alignment horizontal="center" vertical="center"/>
      <protection hidden="1"/>
    </xf>
    <xf numFmtId="228" fontId="107" fillId="6" borderId="18" xfId="48" applyNumberFormat="1" applyFont="1" applyFill="1" applyBorder="1" applyAlignment="1" applyProtection="1">
      <alignment horizontal="center" vertical="center"/>
      <protection hidden="1"/>
    </xf>
    <xf numFmtId="228" fontId="107" fillId="6" borderId="59" xfId="48" applyNumberFormat="1" applyFont="1" applyFill="1" applyBorder="1" applyAlignment="1" applyProtection="1">
      <alignment horizontal="center" vertical="center"/>
      <protection hidden="1"/>
    </xf>
    <xf numFmtId="41" fontId="8" fillId="0" borderId="15" xfId="48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6" fillId="36" borderId="103" xfId="0" applyFont="1" applyFill="1" applyBorder="1" applyAlignment="1" applyProtection="1">
      <alignment horizontal="center" vertical="center"/>
      <protection hidden="1"/>
    </xf>
    <xf numFmtId="0" fontId="6" fillId="36" borderId="104" xfId="0" applyFont="1" applyFill="1" applyBorder="1" applyAlignment="1" applyProtection="1">
      <alignment horizontal="center" vertical="center"/>
      <protection hidden="1"/>
    </xf>
    <xf numFmtId="0" fontId="28" fillId="35" borderId="86" xfId="0" applyFont="1" applyFill="1" applyBorder="1" applyAlignment="1" applyProtection="1">
      <alignment horizontal="center" vertical="center"/>
      <protection locked="0"/>
    </xf>
    <xf numFmtId="0" fontId="28" fillId="35" borderId="87" xfId="0" applyFont="1" applyFill="1" applyBorder="1" applyAlignment="1" applyProtection="1">
      <alignment horizontal="center" vertical="center"/>
      <protection locked="0"/>
    </xf>
    <xf numFmtId="0" fontId="28" fillId="35" borderId="98" xfId="0" applyFont="1" applyFill="1" applyBorder="1" applyAlignment="1" applyProtection="1">
      <alignment horizontal="center" vertical="center"/>
      <protection locked="0"/>
    </xf>
    <xf numFmtId="0" fontId="6" fillId="37" borderId="46" xfId="0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49" fontId="28" fillId="35" borderId="86" xfId="0" applyNumberFormat="1" applyFont="1" applyFill="1" applyBorder="1" applyAlignment="1" applyProtection="1">
      <alignment horizontal="center" vertical="center"/>
      <protection locked="0"/>
    </xf>
    <xf numFmtId="49" fontId="28" fillId="35" borderId="98" xfId="0" applyNumberFormat="1" applyFont="1" applyFill="1" applyBorder="1" applyAlignment="1" applyProtection="1">
      <alignment horizontal="center" vertical="center"/>
      <protection locked="0"/>
    </xf>
    <xf numFmtId="228" fontId="107" fillId="6" borderId="105" xfId="48" applyNumberFormat="1" applyFont="1" applyFill="1" applyBorder="1" applyAlignment="1" applyProtection="1">
      <alignment horizontal="center" vertical="center"/>
      <protection hidden="1"/>
    </xf>
    <xf numFmtId="228" fontId="107" fillId="6" borderId="106" xfId="48" applyNumberFormat="1" applyFont="1" applyFill="1" applyBorder="1" applyAlignment="1" applyProtection="1">
      <alignment horizontal="center" vertical="center"/>
      <protection hidden="1"/>
    </xf>
    <xf numFmtId="186" fontId="19" fillId="33" borderId="74" xfId="48" applyNumberFormat="1" applyFont="1" applyFill="1" applyBorder="1" applyAlignment="1" applyProtection="1">
      <alignment horizontal="right" vertical="center"/>
      <protection locked="0"/>
    </xf>
    <xf numFmtId="186" fontId="19" fillId="33" borderId="13" xfId="48" applyNumberFormat="1" applyFont="1" applyFill="1" applyBorder="1" applyAlignment="1" applyProtection="1">
      <alignment horizontal="right" vertical="center"/>
      <protection locked="0"/>
    </xf>
    <xf numFmtId="41" fontId="8" fillId="0" borderId="10" xfId="48" applyFont="1" applyBorder="1" applyAlignment="1" applyProtection="1">
      <alignment horizontal="center" vertical="center"/>
      <protection hidden="1"/>
    </xf>
    <xf numFmtId="41" fontId="8" fillId="0" borderId="10" xfId="48" applyFont="1" applyFill="1" applyBorder="1" applyAlignment="1" applyProtection="1">
      <alignment horizontal="center" vertical="center"/>
      <protection hidden="1"/>
    </xf>
    <xf numFmtId="41" fontId="8" fillId="0" borderId="18" xfId="48" applyFont="1" applyFill="1" applyBorder="1" applyAlignment="1" applyProtection="1">
      <alignment horizontal="center" vertical="center"/>
      <protection hidden="1"/>
    </xf>
    <xf numFmtId="41" fontId="8" fillId="0" borderId="18" xfId="48" applyFont="1" applyBorder="1" applyAlignment="1" applyProtection="1">
      <alignment horizontal="center" vertical="center"/>
      <protection hidden="1"/>
    </xf>
    <xf numFmtId="180" fontId="100" fillId="0" borderId="107" xfId="0" applyNumberFormat="1" applyFont="1" applyFill="1" applyBorder="1" applyAlignment="1" applyProtection="1">
      <alignment horizontal="right" vertical="center"/>
      <protection hidden="1"/>
    </xf>
    <xf numFmtId="180" fontId="100" fillId="0" borderId="108" xfId="0" applyNumberFormat="1" applyFont="1" applyFill="1" applyBorder="1" applyAlignment="1" applyProtection="1">
      <alignment horizontal="right" vertical="center"/>
      <protection hidden="1"/>
    </xf>
    <xf numFmtId="232" fontId="111" fillId="6" borderId="92" xfId="48" applyNumberFormat="1" applyFont="1" applyFill="1" applyBorder="1" applyAlignment="1" applyProtection="1">
      <alignment horizontal="right"/>
      <protection hidden="1"/>
    </xf>
    <xf numFmtId="232" fontId="111" fillId="6" borderId="13" xfId="48" applyNumberFormat="1" applyFont="1" applyFill="1" applyBorder="1" applyAlignment="1" applyProtection="1">
      <alignment horizontal="right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09" xfId="62" applyFont="1" applyFill="1" applyBorder="1" applyAlignment="1" applyProtection="1">
      <alignment horizontal="center" vertical="center"/>
      <protection hidden="1"/>
    </xf>
    <xf numFmtId="0" fontId="8" fillId="0" borderId="96" xfId="62" applyFont="1" applyFill="1" applyBorder="1" applyAlignment="1" applyProtection="1">
      <alignment horizontal="center" vertical="center"/>
      <protection hidden="1"/>
    </xf>
    <xf numFmtId="178" fontId="8" fillId="0" borderId="76" xfId="0" applyNumberFormat="1" applyFont="1" applyBorder="1" applyAlignment="1" applyProtection="1">
      <alignment horizontal="center"/>
      <protection hidden="1"/>
    </xf>
    <xf numFmtId="180" fontId="104" fillId="6" borderId="78" xfId="0" applyNumberFormat="1" applyFont="1" applyFill="1" applyBorder="1" applyAlignment="1" applyProtection="1">
      <alignment horizontal="center" vertical="center"/>
      <protection hidden="1"/>
    </xf>
    <xf numFmtId="180" fontId="104" fillId="6" borderId="110" xfId="0" applyNumberFormat="1" applyFont="1" applyFill="1" applyBorder="1" applyAlignment="1" applyProtection="1">
      <alignment horizontal="center" vertical="center"/>
      <protection hidden="1"/>
    </xf>
    <xf numFmtId="176" fontId="104" fillId="6" borderId="94" xfId="0" applyNumberFormat="1" applyFont="1" applyFill="1" applyBorder="1" applyAlignment="1" applyProtection="1">
      <alignment horizontal="center" vertical="center"/>
      <protection hidden="1"/>
    </xf>
    <xf numFmtId="176" fontId="104" fillId="6" borderId="95" xfId="0" applyNumberFormat="1" applyFont="1" applyFill="1" applyBorder="1" applyAlignment="1" applyProtection="1">
      <alignment horizontal="center" vertical="center"/>
      <protection hidden="1"/>
    </xf>
    <xf numFmtId="180" fontId="104" fillId="6" borderId="94" xfId="0" applyNumberFormat="1" applyFont="1" applyFill="1" applyBorder="1" applyAlignment="1" applyProtection="1">
      <alignment horizontal="center" vertical="center"/>
      <protection hidden="1"/>
    </xf>
    <xf numFmtId="180" fontId="104" fillId="6" borderId="95" xfId="0" applyNumberFormat="1" applyFont="1" applyFill="1" applyBorder="1" applyAlignment="1" applyProtection="1">
      <alignment horizontal="center" vertical="center"/>
      <protection hidden="1"/>
    </xf>
    <xf numFmtId="180" fontId="104" fillId="6" borderId="111" xfId="0" applyNumberFormat="1" applyFont="1" applyFill="1" applyBorder="1" applyAlignment="1" applyProtection="1">
      <alignment horizontal="center" vertical="center"/>
      <protection hidden="1"/>
    </xf>
    <xf numFmtId="180" fontId="104" fillId="6" borderId="112" xfId="0" applyNumberFormat="1" applyFont="1" applyFill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62" xfId="0" applyFont="1" applyBorder="1" applyAlignment="1" applyProtection="1">
      <alignment horizontal="center" vertical="center"/>
      <protection hidden="1"/>
    </xf>
    <xf numFmtId="181" fontId="8" fillId="0" borderId="43" xfId="0" applyNumberFormat="1" applyFont="1" applyBorder="1" applyAlignment="1" applyProtection="1">
      <alignment horizontal="center" vertical="center"/>
      <protection hidden="1"/>
    </xf>
    <xf numFmtId="181" fontId="8" fillId="0" borderId="72" xfId="0" applyNumberFormat="1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95" xfId="0" applyFont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95" xfId="0" applyFont="1" applyFill="1" applyBorder="1" applyAlignment="1" applyProtection="1">
      <alignment horizontal="center" vertical="center" wrapText="1"/>
      <protection hidden="1"/>
    </xf>
    <xf numFmtId="0" fontId="8" fillId="0" borderId="94" xfId="0" applyFont="1" applyBorder="1" applyAlignment="1" applyProtection="1">
      <alignment horizontal="center" vertical="center"/>
      <protection hidden="1"/>
    </xf>
    <xf numFmtId="0" fontId="8" fillId="0" borderId="113" xfId="0" applyFont="1" applyBorder="1" applyAlignment="1" applyProtection="1">
      <alignment horizontal="center" vertical="center"/>
      <protection hidden="1"/>
    </xf>
    <xf numFmtId="0" fontId="8" fillId="0" borderId="114" xfId="0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228" fontId="111" fillId="6" borderId="82" xfId="48" applyNumberFormat="1" applyFont="1" applyFill="1" applyBorder="1" applyAlignment="1" applyProtection="1">
      <alignment horizontal="center" vertical="center"/>
      <protection hidden="1"/>
    </xf>
    <xf numFmtId="228" fontId="111" fillId="6" borderId="102" xfId="48" applyNumberFormat="1" applyFont="1" applyFill="1" applyBorder="1" applyAlignment="1" applyProtection="1">
      <alignment horizontal="center" vertical="center"/>
      <protection hidden="1"/>
    </xf>
    <xf numFmtId="180" fontId="112" fillId="35" borderId="74" xfId="0" applyNumberFormat="1" applyFont="1" applyFill="1" applyBorder="1" applyAlignment="1" applyProtection="1">
      <alignment horizontal="right" vertical="center"/>
      <protection hidden="1"/>
    </xf>
    <xf numFmtId="180" fontId="112" fillId="35" borderId="13" xfId="0" applyNumberFormat="1" applyFont="1" applyFill="1" applyBorder="1" applyAlignment="1" applyProtection="1">
      <alignment horizontal="right" vertical="center"/>
      <protection hidden="1"/>
    </xf>
    <xf numFmtId="0" fontId="19" fillId="34" borderId="33" xfId="0" applyFont="1" applyFill="1" applyBorder="1" applyAlignment="1" applyProtection="1">
      <alignment horizontal="center" vertical="center"/>
      <protection hidden="1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221" fontId="19" fillId="0" borderId="33" xfId="0" applyNumberFormat="1" applyFont="1" applyBorder="1" applyAlignment="1" applyProtection="1">
      <alignment horizontal="center" vertical="center"/>
      <protection hidden="1"/>
    </xf>
    <xf numFmtId="222" fontId="8" fillId="0" borderId="26" xfId="0" applyNumberFormat="1" applyFont="1" applyBorder="1" applyAlignment="1" applyProtection="1">
      <alignment horizontal="center" vertical="center"/>
      <protection hidden="1"/>
    </xf>
    <xf numFmtId="221" fontId="19" fillId="0" borderId="43" xfId="0" applyNumberFormat="1" applyFont="1" applyFill="1" applyBorder="1" applyAlignment="1" applyProtection="1">
      <alignment horizontal="center" vertical="center"/>
      <protection hidden="1"/>
    </xf>
    <xf numFmtId="221" fontId="19" fillId="0" borderId="62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96" xfId="0" applyFont="1" applyFill="1" applyBorder="1" applyAlignment="1" applyProtection="1">
      <alignment horizontal="center" vertical="center"/>
      <protection hidden="1"/>
    </xf>
    <xf numFmtId="0" fontId="19" fillId="0" borderId="115" xfId="0" applyFont="1" applyBorder="1" applyAlignment="1" applyProtection="1">
      <alignment horizontal="center" vertical="center"/>
      <protection hidden="1"/>
    </xf>
    <xf numFmtId="0" fontId="19" fillId="0" borderId="116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183" fontId="10" fillId="0" borderId="14" xfId="48" applyNumberFormat="1" applyFont="1" applyBorder="1" applyAlignment="1">
      <alignment horizontal="center" wrapText="1"/>
    </xf>
    <xf numFmtId="183" fontId="10" fillId="0" borderId="31" xfId="48" applyNumberFormat="1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1" fillId="0" borderId="117" xfId="0" applyFont="1" applyBorder="1" applyAlignment="1">
      <alignment horizontal="center" vertical="center"/>
    </xf>
    <xf numFmtId="0" fontId="31" fillId="0" borderId="118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 vertical="center"/>
    </xf>
    <xf numFmtId="0" fontId="31" fillId="0" borderId="120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12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1" fillId="0" borderId="122" xfId="0" applyFont="1" applyBorder="1" applyAlignment="1">
      <alignment horizontal="center" vertical="center" wrapText="1"/>
    </xf>
    <xf numFmtId="0" fontId="31" fillId="0" borderId="123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182" fontId="104" fillId="6" borderId="69" xfId="48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_AL_VALUE_테이블(1)" xfId="64"/>
    <cellStyle name="Hyperlink" xfId="65"/>
  </cellStyles>
  <dxfs count="9">
    <dxf>
      <font>
        <b/>
        <i val="0"/>
        <color theme="1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b/>
        <i val="0"/>
        <color theme="1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DC Bias Characteristics</a:t>
            </a:r>
          </a:p>
        </c:rich>
      </c:tx>
      <c:layout>
        <c:manualLayout>
          <c:xMode val="factor"/>
          <c:yMode val="factor"/>
          <c:x val="-0.046"/>
          <c:y val="-0.02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05675"/>
          <c:w val="0.967"/>
          <c:h val="0.8765"/>
        </c:manualLayout>
      </c:layout>
      <c:lineChart>
        <c:grouping val="standard"/>
        <c:varyColors val="0"/>
        <c:ser>
          <c:idx val="2"/>
          <c:order val="0"/>
          <c:tx>
            <c:strRef>
              <c:f>'ER Core Design Tool'!$P$54</c:f>
              <c:strCache>
                <c:ptCount val="1"/>
                <c:pt idx="0">
                  <c:v>026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'ER Core Design Tool'!$N$55:$N$105</c:f>
              <c:numCache/>
            </c:numRef>
          </c:cat>
          <c:val>
            <c:numRef>
              <c:f>'ER Core Design Tool'!$P$55:$P$105</c:f>
              <c:numCache/>
            </c:numRef>
          </c:val>
          <c:smooth val="0"/>
        </c:ser>
        <c:ser>
          <c:idx val="3"/>
          <c:order val="1"/>
          <c:tx>
            <c:strRef>
              <c:f>'ER Core Design Tool'!$Q$54</c:f>
              <c:strCache>
                <c:ptCount val="1"/>
                <c:pt idx="0">
                  <c:v>040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'ER Core Design Tool'!$N$55:$N$105</c:f>
              <c:numCache/>
            </c:numRef>
          </c:cat>
          <c:val>
            <c:numRef>
              <c:f>'ER Core Design Tool'!$Q$55:$Q$105</c:f>
              <c:numCache/>
            </c:numRef>
          </c:val>
          <c:smooth val="0"/>
        </c:ser>
        <c:ser>
          <c:idx val="4"/>
          <c:order val="2"/>
          <c:tx>
            <c:strRef>
              <c:f>'ER Core Design Tool'!$R$54</c:f>
              <c:strCache>
                <c:ptCount val="1"/>
                <c:pt idx="0">
                  <c:v>060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'ER Core Design Tool'!$N$55:$N$105</c:f>
              <c:numCache/>
            </c:numRef>
          </c:cat>
          <c:val>
            <c:numRef>
              <c:f>'ER Core Design Tool'!$R$55:$R$105</c:f>
              <c:numCache/>
            </c:numRef>
          </c:val>
          <c:smooth val="0"/>
        </c:ser>
        <c:marker val="1"/>
        <c:axId val="15369025"/>
        <c:axId val="4103498"/>
      </c:lineChart>
      <c:catAx>
        <c:axId val="153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Current [A]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_);[Red]\(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3498"/>
        <c:crosses val="autoZero"/>
        <c:auto val="1"/>
        <c:lblOffset val="100"/>
        <c:tickLblSkip val="3"/>
        <c:tickMarkSkip val="3"/>
        <c:noMultiLvlLbl val="0"/>
      </c:catAx>
      <c:valAx>
        <c:axId val="4103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Inductance [uH]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690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08325"/>
          <c:w val="0.063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12</xdr:col>
      <xdr:colOff>323850</xdr:colOff>
      <xdr:row>38</xdr:row>
      <xdr:rowOff>104775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rcRect l="17422" t="15039" r="4922" b="18652"/>
        <a:stretch>
          <a:fillRect/>
        </a:stretch>
      </xdr:blipFill>
      <xdr:spPr>
        <a:xfrm>
          <a:off x="0" y="247650"/>
          <a:ext cx="9467850" cy="6467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190500</xdr:rowOff>
    </xdr:from>
    <xdr:to>
      <xdr:col>19</xdr:col>
      <xdr:colOff>19050</xdr:colOff>
      <xdr:row>63</xdr:row>
      <xdr:rowOff>9525</xdr:rowOff>
    </xdr:to>
    <xdr:graphicFrame>
      <xdr:nvGraphicFramePr>
        <xdr:cNvPr id="1" name="Chart 9"/>
        <xdr:cNvGraphicFramePr/>
      </xdr:nvGraphicFramePr>
      <xdr:xfrm>
        <a:off x="0" y="7343775"/>
        <a:ext cx="119062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114300</xdr:colOff>
      <xdr:row>4</xdr:row>
      <xdr:rowOff>28575</xdr:rowOff>
    </xdr:from>
    <xdr:to>
      <xdr:col>10</xdr:col>
      <xdr:colOff>657225</xdr:colOff>
      <xdr:row>7</xdr:row>
      <xdr:rowOff>209550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44766" t="20312" r="22500" b="46943"/>
        <a:stretch>
          <a:fillRect/>
        </a:stretch>
      </xdr:blipFill>
      <xdr:spPr>
        <a:xfrm>
          <a:off x="4953000" y="1238250"/>
          <a:ext cx="13239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323850</xdr:colOff>
      <xdr:row>4</xdr:row>
      <xdr:rowOff>247650</xdr:rowOff>
    </xdr:from>
    <xdr:to>
      <xdr:col>14</xdr:col>
      <xdr:colOff>323850</xdr:colOff>
      <xdr:row>7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rcRect l="44766" t="53056" r="22500" b="28417"/>
        <a:stretch>
          <a:fillRect/>
        </a:stretch>
      </xdr:blipFill>
      <xdr:spPr>
        <a:xfrm>
          <a:off x="7572375" y="1457325"/>
          <a:ext cx="13906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20</xdr:row>
      <xdr:rowOff>19050</xdr:rowOff>
    </xdr:from>
    <xdr:to>
      <xdr:col>8</xdr:col>
      <xdr:colOff>819150</xdr:colOff>
      <xdr:row>37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44766" t="20312" r="22500" b="28417"/>
        <a:stretch>
          <a:fillRect/>
        </a:stretch>
      </xdr:blipFill>
      <xdr:spPr>
        <a:xfrm>
          <a:off x="3629025" y="3657600"/>
          <a:ext cx="2390775" cy="3000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47625</xdr:rowOff>
    </xdr:from>
    <xdr:to>
      <xdr:col>6</xdr:col>
      <xdr:colOff>819150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52" t="34698" r="69102" b="58692"/>
        <a:stretch>
          <a:fillRect/>
        </a:stretch>
      </xdr:blipFill>
      <xdr:spPr>
        <a:xfrm>
          <a:off x="3686175" y="47625"/>
          <a:ext cx="18669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361950</xdr:rowOff>
    </xdr:from>
    <xdr:to>
      <xdr:col>15</xdr:col>
      <xdr:colOff>323850</xdr:colOff>
      <xdr:row>1</xdr:row>
      <xdr:rowOff>381000</xdr:rowOff>
    </xdr:to>
    <xdr:pic>
      <xdr:nvPicPr>
        <xdr:cNvPr id="2" name="Picture 102"/>
        <xdr:cNvPicPr preferRelativeResize="1">
          <a:picLocks noChangeAspect="1"/>
        </xdr:cNvPicPr>
      </xdr:nvPicPr>
      <xdr:blipFill>
        <a:blip r:embed="rId2"/>
        <a:srcRect l="22969" t="33203" r="61874" b="62402"/>
        <a:stretch>
          <a:fillRect/>
        </a:stretch>
      </xdr:blipFill>
      <xdr:spPr>
        <a:xfrm>
          <a:off x="8820150" y="361950"/>
          <a:ext cx="18478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400050</xdr:colOff>
      <xdr:row>2</xdr:row>
      <xdr:rowOff>171450</xdr:rowOff>
    </xdr:from>
    <xdr:to>
      <xdr:col>17</xdr:col>
      <xdr:colOff>38100</xdr:colOff>
      <xdr:row>17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44766" t="20312" r="22500" b="28417"/>
        <a:stretch>
          <a:fillRect/>
        </a:stretch>
      </xdr:blipFill>
      <xdr:spPr>
        <a:xfrm>
          <a:off x="7791450" y="609600"/>
          <a:ext cx="2390775" cy="3000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O6"/>
  <sheetViews>
    <sheetView zoomScalePageLayoutView="0" workbookViewId="0" topLeftCell="A1">
      <selection activeCell="N20" sqref="N20"/>
    </sheetView>
  </sheetViews>
  <sheetFormatPr defaultColWidth="8.88671875" defaultRowHeight="13.5"/>
  <cols>
    <col min="13" max="13" width="4.77734375" style="0" customWidth="1"/>
    <col min="14" max="14" width="13.5546875" style="0" customWidth="1"/>
    <col min="15" max="15" width="10.21484375" style="0" customWidth="1"/>
  </cols>
  <sheetData>
    <row r="3" ht="14.25" thickBot="1"/>
    <row r="4" spans="14:15" ht="15" thickBot="1">
      <c r="N4" s="194" t="s">
        <v>58</v>
      </c>
      <c r="O4" s="195">
        <v>8.6</v>
      </c>
    </row>
    <row r="5" spans="14:15" ht="15" thickBot="1">
      <c r="N5" s="194" t="s">
        <v>55</v>
      </c>
      <c r="O5" s="196">
        <v>100</v>
      </c>
    </row>
    <row r="6" spans="14:15" ht="17.25" thickBot="1">
      <c r="N6" s="194" t="s">
        <v>99</v>
      </c>
      <c r="O6" s="197">
        <f>O4*0.001*O5*O5</f>
        <v>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3"/>
  <sheetViews>
    <sheetView tabSelected="1" zoomScale="90" zoomScaleNormal="90" workbookViewId="0" topLeftCell="A1">
      <selection activeCell="F7" sqref="F7"/>
    </sheetView>
  </sheetViews>
  <sheetFormatPr defaultColWidth="8.88671875" defaultRowHeight="13.5"/>
  <cols>
    <col min="1" max="1" width="7.4453125" style="24" customWidth="1"/>
    <col min="2" max="2" width="0.671875" style="24" customWidth="1"/>
    <col min="3" max="3" width="9.3359375" style="24" customWidth="1"/>
    <col min="4" max="4" width="4.10546875" style="24" customWidth="1"/>
    <col min="5" max="5" width="7.5546875" style="24" customWidth="1"/>
    <col min="6" max="6" width="5.3359375" style="24" customWidth="1"/>
    <col min="7" max="7" width="5.6640625" style="24" customWidth="1"/>
    <col min="8" max="8" width="10.5546875" style="24" customWidth="1"/>
    <col min="9" max="9" width="5.77734375" style="24" customWidth="1"/>
    <col min="10" max="10" width="9.10546875" style="24" customWidth="1"/>
    <col min="11" max="11" width="9.99609375" style="24" customWidth="1"/>
    <col min="12" max="12" width="8.99609375" style="24" customWidth="1"/>
    <col min="13" max="13" width="7.99609375" style="24" customWidth="1"/>
    <col min="14" max="14" width="8.21484375" style="24" customWidth="1"/>
    <col min="15" max="15" width="7.99609375" style="24" customWidth="1"/>
    <col min="16" max="16" width="7.21484375" style="24" customWidth="1"/>
    <col min="17" max="17" width="7.3359375" style="24" customWidth="1"/>
    <col min="18" max="19" width="7.6640625" style="24" customWidth="1"/>
    <col min="20" max="20" width="7.4453125" style="24" customWidth="1"/>
    <col min="21" max="21" width="7.88671875" style="24" customWidth="1"/>
    <col min="22" max="22" width="7.77734375" style="24" customWidth="1"/>
    <col min="23" max="23" width="6.88671875" style="24" customWidth="1"/>
    <col min="24" max="16384" width="8.88671875" style="24" customWidth="1"/>
  </cols>
  <sheetData>
    <row r="1" spans="1:9" ht="22.5">
      <c r="A1" s="23" t="s">
        <v>98</v>
      </c>
      <c r="F1" s="31"/>
      <c r="I1" s="25"/>
    </row>
    <row r="2" spans="6:23" ht="18.75" customHeight="1" thickBot="1">
      <c r="F2" s="31"/>
      <c r="G2" s="111"/>
      <c r="H2" s="111" t="s">
        <v>64</v>
      </c>
      <c r="I2" s="26"/>
      <c r="P2" s="28"/>
      <c r="Q2" s="28"/>
      <c r="W2" s="72"/>
    </row>
    <row r="3" spans="1:20" ht="27" customHeight="1" thickBot="1" thickTop="1">
      <c r="A3" s="398" t="s">
        <v>48</v>
      </c>
      <c r="B3" s="403"/>
      <c r="C3" s="399"/>
      <c r="D3" s="398" t="s">
        <v>72</v>
      </c>
      <c r="E3" s="399"/>
      <c r="F3" s="237"/>
      <c r="G3" s="211"/>
      <c r="H3" s="324" t="s">
        <v>65</v>
      </c>
      <c r="I3" s="324"/>
      <c r="J3" s="134" t="s">
        <v>33</v>
      </c>
      <c r="K3" s="134" t="s">
        <v>60</v>
      </c>
      <c r="L3" s="134" t="s">
        <v>61</v>
      </c>
      <c r="M3" s="134" t="s">
        <v>36</v>
      </c>
      <c r="N3" s="134" t="s">
        <v>62</v>
      </c>
      <c r="O3" s="135" t="s">
        <v>63</v>
      </c>
      <c r="P3" s="435" t="s">
        <v>10</v>
      </c>
      <c r="Q3" s="436"/>
      <c r="R3" s="423">
        <f>VLOOKUP($D$4,'ER Core Dimension'!$A:$H,8,0)</f>
        <v>5.81</v>
      </c>
      <c r="S3" s="424"/>
      <c r="T3" s="28"/>
    </row>
    <row r="4" spans="1:20" ht="27" customHeight="1" thickBot="1" thickTop="1">
      <c r="A4" s="400" t="s">
        <v>368</v>
      </c>
      <c r="B4" s="401"/>
      <c r="C4" s="402"/>
      <c r="D4" s="405" t="s">
        <v>370</v>
      </c>
      <c r="E4" s="406"/>
      <c r="F4" s="238"/>
      <c r="G4" s="211"/>
      <c r="H4" s="377"/>
      <c r="I4" s="377"/>
      <c r="J4" s="278">
        <f>VLOOKUP($D$4,'ER Core Dimension'!$A:$B,2,0)</f>
        <v>30</v>
      </c>
      <c r="K4" s="279">
        <f>VLOOKUP($D$4,'ER Core Dimension'!$A:$C,3,0)</f>
        <v>20</v>
      </c>
      <c r="L4" s="279">
        <f>VLOOKUP($D$4,'ER Core Dimension'!$A:$D,4,0)</f>
        <v>9.2</v>
      </c>
      <c r="M4" s="279">
        <f>VLOOKUP($D$4,'ER Core Dimension'!$A:$E,5,0)</f>
        <v>12</v>
      </c>
      <c r="N4" s="279">
        <f>VLOOKUP($D$4,'ER Core Dimension'!$A:$F,6,0)</f>
        <v>25.6</v>
      </c>
      <c r="O4" s="280">
        <f>VLOOKUP($D$4,'ER Core Dimension'!$A:$G,7,0)</f>
        <v>5.9</v>
      </c>
      <c r="P4" s="437" t="s">
        <v>38</v>
      </c>
      <c r="Q4" s="438"/>
      <c r="R4" s="425">
        <f>VLOOKUP($D$4,'ER Core Dimension'!$A:$I,9,0)</f>
        <v>1.14</v>
      </c>
      <c r="S4" s="426"/>
      <c r="T4" s="72"/>
    </row>
    <row r="5" spans="1:20" ht="24" customHeight="1" thickTop="1">
      <c r="A5" s="404"/>
      <c r="B5" s="404"/>
      <c r="C5" s="404"/>
      <c r="D5" s="178"/>
      <c r="F5" s="31"/>
      <c r="G5" s="325"/>
      <c r="H5" s="326"/>
      <c r="I5" s="326"/>
      <c r="J5" s="379"/>
      <c r="K5" s="379"/>
      <c r="L5" s="137"/>
      <c r="M5" s="325"/>
      <c r="N5" s="325"/>
      <c r="O5" s="325"/>
      <c r="P5" s="435" t="s">
        <v>12</v>
      </c>
      <c r="Q5" s="436"/>
      <c r="R5" s="427">
        <f>VLOOKUP($D$4,'ER Core Dimension'!$A:$J,10,0)</f>
        <v>0.8024000000000001</v>
      </c>
      <c r="S5" s="428"/>
      <c r="T5" s="73"/>
    </row>
    <row r="6" spans="1:20" ht="19.5" customHeight="1" thickBot="1">
      <c r="A6" s="83"/>
      <c r="B6" s="83"/>
      <c r="C6" s="83"/>
      <c r="D6" s="116"/>
      <c r="F6" s="31"/>
      <c r="G6" s="380"/>
      <c r="H6" s="380"/>
      <c r="I6" s="380"/>
      <c r="J6" s="381"/>
      <c r="K6" s="381"/>
      <c r="L6" s="136"/>
      <c r="M6" s="325"/>
      <c r="N6" s="325"/>
      <c r="O6" s="325"/>
      <c r="P6" s="435" t="s">
        <v>11</v>
      </c>
      <c r="Q6" s="436"/>
      <c r="R6" s="429">
        <f>VLOOKUP($D$4,'ER Core Dimension'!$A:$K,11,0)</f>
        <v>6.623399999999999</v>
      </c>
      <c r="S6" s="430"/>
      <c r="T6" s="73"/>
    </row>
    <row r="7" spans="1:16" ht="25.5" customHeight="1" thickTop="1">
      <c r="A7" s="83"/>
      <c r="B7" s="83"/>
      <c r="C7" s="83"/>
      <c r="D7" s="97"/>
      <c r="G7" s="28"/>
      <c r="H7" s="28"/>
      <c r="I7" s="28"/>
      <c r="J7" s="28"/>
      <c r="K7" s="28"/>
      <c r="L7" s="28"/>
      <c r="M7" s="28"/>
      <c r="N7" s="28"/>
      <c r="O7" s="82"/>
      <c r="P7" s="28"/>
    </row>
    <row r="8" spans="1:17" ht="18" thickBot="1">
      <c r="A8" s="83"/>
      <c r="B8" s="83"/>
      <c r="C8" s="83"/>
      <c r="D8" s="97"/>
      <c r="G8" s="28"/>
      <c r="H8" s="28"/>
      <c r="I8" s="28"/>
      <c r="J8" s="28"/>
      <c r="K8" s="28"/>
      <c r="L8" s="28"/>
      <c r="M8" s="111"/>
      <c r="N8" s="95"/>
      <c r="O8" s="96"/>
      <c r="P8" s="96"/>
      <c r="Q8" s="96"/>
    </row>
    <row r="9" spans="1:19" ht="16.5" thickBot="1" thickTop="1">
      <c r="A9" s="131" t="s">
        <v>57</v>
      </c>
      <c r="B9" s="113"/>
      <c r="C9" s="113"/>
      <c r="D9" s="113"/>
      <c r="E9" s="113"/>
      <c r="F9" s="113"/>
      <c r="G9" s="114"/>
      <c r="H9" s="114"/>
      <c r="I9" s="114"/>
      <c r="J9" s="115"/>
      <c r="K9" s="115"/>
      <c r="L9" s="115"/>
      <c r="M9" s="233"/>
      <c r="O9" s="191" t="s">
        <v>59</v>
      </c>
      <c r="P9" s="28"/>
      <c r="Q9" s="73"/>
      <c r="R9" s="73"/>
      <c r="S9" s="73"/>
    </row>
    <row r="10" spans="1:21" ht="15.75" thickBot="1" thickTop="1">
      <c r="A10" s="321" t="s">
        <v>14</v>
      </c>
      <c r="B10" s="322"/>
      <c r="C10" s="322"/>
      <c r="D10" s="322"/>
      <c r="E10" s="409">
        <v>4</v>
      </c>
      <c r="F10" s="410"/>
      <c r="G10" s="422" t="s">
        <v>16</v>
      </c>
      <c r="H10" s="422"/>
      <c r="I10" s="422"/>
      <c r="J10" s="295">
        <f>E11*E10/R5</f>
        <v>23.738303944260252</v>
      </c>
      <c r="K10" s="439" t="s">
        <v>196</v>
      </c>
      <c r="L10" s="436"/>
      <c r="M10" s="484">
        <f>VLOOKUP(E13,'ER Core AL'!M1:N3,2,0)*E12*E10*0.001/(E11*0.01)</f>
        <v>0.6998464578538122</v>
      </c>
      <c r="N10" s="30"/>
      <c r="O10" s="319" t="s">
        <v>108</v>
      </c>
      <c r="P10" s="431" t="s">
        <v>194</v>
      </c>
      <c r="Q10" s="432"/>
      <c r="R10" s="433" t="s">
        <v>37</v>
      </c>
      <c r="S10" s="434"/>
      <c r="U10" s="32"/>
    </row>
    <row r="11" spans="1:21" ht="15" customHeight="1" thickBot="1" thickTop="1">
      <c r="A11" s="332" t="s">
        <v>201</v>
      </c>
      <c r="B11" s="333"/>
      <c r="C11" s="333"/>
      <c r="D11" s="334"/>
      <c r="E11" s="337">
        <f>E15^2/4*3.141592</f>
        <v>4.761903771218607</v>
      </c>
      <c r="F11" s="337"/>
      <c r="G11" s="378" t="s">
        <v>362</v>
      </c>
      <c r="H11" s="322"/>
      <c r="I11" s="322"/>
      <c r="J11" s="57">
        <v>80</v>
      </c>
      <c r="K11" s="439" t="s">
        <v>204</v>
      </c>
      <c r="L11" s="436"/>
      <c r="M11" s="297">
        <v>20</v>
      </c>
      <c r="N11" s="30"/>
      <c r="O11" s="320"/>
      <c r="P11" s="92" t="s">
        <v>50</v>
      </c>
      <c r="Q11" s="92" t="s">
        <v>51</v>
      </c>
      <c r="R11" s="92" t="s">
        <v>50</v>
      </c>
      <c r="S11" s="240" t="s">
        <v>51</v>
      </c>
      <c r="U11" s="79"/>
    </row>
    <row r="12" spans="1:21" ht="16.5" thickBot="1" thickTop="1">
      <c r="A12" s="386" t="s">
        <v>15</v>
      </c>
      <c r="B12" s="387"/>
      <c r="C12" s="387"/>
      <c r="D12" s="388"/>
      <c r="E12" s="335">
        <f>2*PI()*M4/2*0.1*1.3</f>
        <v>4.900884539600077</v>
      </c>
      <c r="F12" s="336"/>
      <c r="G12" s="378" t="s">
        <v>13</v>
      </c>
      <c r="H12" s="322"/>
      <c r="I12" s="322"/>
      <c r="J12" s="291">
        <v>150</v>
      </c>
      <c r="K12" s="333" t="s">
        <v>197</v>
      </c>
      <c r="L12" s="333"/>
      <c r="M12" s="300">
        <f>M10*(1+39.3*10^(-4)*(M11-20))</f>
        <v>0.6998464578538122</v>
      </c>
      <c r="N12" s="30"/>
      <c r="O12" s="241" t="str">
        <f>K32</f>
        <v>026</v>
      </c>
      <c r="P12" s="132">
        <f aca="true" t="shared" si="0" ref="P12:Q14">R32+$M$13</f>
        <v>6.213404463825875</v>
      </c>
      <c r="Q12" s="133">
        <f t="shared" si="0"/>
        <v>12.740644520073035</v>
      </c>
      <c r="R12" s="121">
        <f aca="true" t="shared" si="1" ref="R12:S14">(($M$13+R32)*1000/$E$16)^0.833</f>
        <v>65.69669385123376</v>
      </c>
      <c r="S12" s="122">
        <f t="shared" si="1"/>
        <v>119.48802196106064</v>
      </c>
      <c r="U12" s="79"/>
    </row>
    <row r="13" spans="1:21" ht="16.5" thickBot="1" thickTop="1">
      <c r="A13" s="321" t="s">
        <v>202</v>
      </c>
      <c r="B13" s="322"/>
      <c r="C13" s="322"/>
      <c r="D13" s="322"/>
      <c r="E13" s="447" t="s">
        <v>203</v>
      </c>
      <c r="F13" s="448"/>
      <c r="G13" s="322" t="s">
        <v>364</v>
      </c>
      <c r="H13" s="322"/>
      <c r="I13" s="322"/>
      <c r="J13" s="91">
        <v>250</v>
      </c>
      <c r="K13" s="440" t="s">
        <v>366</v>
      </c>
      <c r="L13" s="441"/>
      <c r="M13" s="299">
        <f>$M$12*0.001*J11^2</f>
        <v>4.479017330264398</v>
      </c>
      <c r="N13" s="30"/>
      <c r="O13" s="241" t="str">
        <f>K33</f>
        <v>040</v>
      </c>
      <c r="P13" s="125">
        <f t="shared" si="0"/>
        <v>6.094942670565622</v>
      </c>
      <c r="Q13" s="126">
        <f t="shared" si="0"/>
        <v>12.2622017604076</v>
      </c>
      <c r="R13" s="123">
        <f t="shared" si="1"/>
        <v>64.65165316044947</v>
      </c>
      <c r="S13" s="124">
        <f t="shared" si="1"/>
        <v>115.73839673832072</v>
      </c>
      <c r="U13" s="79"/>
    </row>
    <row r="14" spans="1:21" ht="16.5" thickBot="1" thickTop="1">
      <c r="A14" s="321" t="s">
        <v>22</v>
      </c>
      <c r="B14" s="322"/>
      <c r="C14" s="322"/>
      <c r="D14" s="322"/>
      <c r="E14" s="375">
        <v>16.8</v>
      </c>
      <c r="F14" s="376"/>
      <c r="G14" s="330" t="s">
        <v>365</v>
      </c>
      <c r="H14" s="331"/>
      <c r="I14" s="331"/>
      <c r="J14" s="296">
        <v>20</v>
      </c>
      <c r="K14" s="373" t="s">
        <v>367</v>
      </c>
      <c r="L14" s="374"/>
      <c r="M14" s="299">
        <f>$M$12*0.001*J12^2</f>
        <v>15.746545301710775</v>
      </c>
      <c r="O14" s="242" t="str">
        <f>K34</f>
        <v>060</v>
      </c>
      <c r="P14" s="127">
        <f t="shared" si="0"/>
        <v>5.550173655394695</v>
      </c>
      <c r="Q14" s="128">
        <f t="shared" si="0"/>
        <v>9.695831498882686</v>
      </c>
      <c r="R14" s="129">
        <f t="shared" si="1"/>
        <v>59.800843659767665</v>
      </c>
      <c r="S14" s="130">
        <f t="shared" si="1"/>
        <v>95.17552722584729</v>
      </c>
      <c r="U14" s="79"/>
    </row>
    <row r="15" spans="1:21" ht="16.5" thickBot="1" thickTop="1">
      <c r="A15" s="327" t="s">
        <v>35</v>
      </c>
      <c r="B15" s="328"/>
      <c r="C15" s="328"/>
      <c r="D15" s="329"/>
      <c r="E15" s="417">
        <f>SQRT((J11/E14)*4/PI())</f>
        <v>2.462325212298291</v>
      </c>
      <c r="F15" s="418"/>
      <c r="G15" s="378" t="s">
        <v>369</v>
      </c>
      <c r="H15" s="322"/>
      <c r="I15" s="322"/>
      <c r="J15" s="293">
        <v>1.5</v>
      </c>
      <c r="K15" s="420" t="s">
        <v>205</v>
      </c>
      <c r="L15" s="421"/>
      <c r="M15" s="301">
        <f>E11*0.01*E12*E10*VLOOKUP(E13,'ER Core AL'!M1:O3,3,0)</f>
        <v>8.364174540800002</v>
      </c>
      <c r="O15" s="74"/>
      <c r="P15" s="175"/>
      <c r="Q15" s="180"/>
      <c r="R15" s="180"/>
      <c r="S15" s="181"/>
      <c r="T15" s="181"/>
      <c r="U15" s="98"/>
    </row>
    <row r="16" spans="1:21" ht="18" customHeight="1" thickTop="1">
      <c r="A16" s="323" t="s">
        <v>82</v>
      </c>
      <c r="B16" s="324"/>
      <c r="C16" s="324"/>
      <c r="D16" s="324"/>
      <c r="E16" s="415">
        <f>VLOOKUP($D$4,'ER Core Dimension'!$A:$M,13,0)</f>
        <v>40.87</v>
      </c>
      <c r="F16" s="416"/>
      <c r="G16" s="455" t="s">
        <v>83</v>
      </c>
      <c r="H16" s="456"/>
      <c r="I16" s="239">
        <v>0</v>
      </c>
      <c r="J16" s="239" t="s">
        <v>195</v>
      </c>
      <c r="K16" s="207">
        <f>J12*1.2</f>
        <v>180</v>
      </c>
      <c r="L16" s="207"/>
      <c r="M16" s="176"/>
      <c r="O16" s="74"/>
      <c r="P16" s="175"/>
      <c r="Q16" s="180"/>
      <c r="R16" s="180"/>
      <c r="S16" s="181"/>
      <c r="T16" s="181"/>
      <c r="U16" s="81"/>
    </row>
    <row r="17" spans="1:21" ht="17.25" customHeight="1" thickBot="1">
      <c r="A17" s="457" t="s">
        <v>79</v>
      </c>
      <c r="B17" s="458"/>
      <c r="C17" s="458"/>
      <c r="D17" s="459"/>
      <c r="E17" s="302" t="s">
        <v>80</v>
      </c>
      <c r="F17" s="303"/>
      <c r="G17" s="304">
        <f>E11/K17</f>
        <v>2.522194794077652</v>
      </c>
      <c r="H17" s="305"/>
      <c r="I17" s="306" t="s">
        <v>81</v>
      </c>
      <c r="J17" s="307"/>
      <c r="K17" s="212">
        <f>O4*2*0.8/(E10+1)</f>
        <v>1.8880000000000003</v>
      </c>
      <c r="L17" s="213"/>
      <c r="M17" s="177"/>
      <c r="O17" s="74"/>
      <c r="P17" s="175"/>
      <c r="Q17" s="180"/>
      <c r="R17" s="180"/>
      <c r="S17" s="181"/>
      <c r="T17" s="181"/>
      <c r="U17" s="81"/>
    </row>
    <row r="18" spans="7:22" ht="15" customHeight="1" thickTop="1">
      <c r="G18" s="28"/>
      <c r="H18" s="33"/>
      <c r="I18" s="34"/>
      <c r="K18" s="35"/>
      <c r="M18" s="67"/>
      <c r="N18" s="39"/>
      <c r="O18" s="71"/>
      <c r="P18" s="39"/>
      <c r="Q18" s="80"/>
      <c r="R18" s="84"/>
      <c r="S18" s="85"/>
      <c r="T18" s="85"/>
      <c r="U18" s="86"/>
      <c r="V18" s="80"/>
    </row>
    <row r="19" spans="11:23" ht="27.75" customHeight="1" hidden="1">
      <c r="K19" s="36"/>
      <c r="L19" s="37"/>
      <c r="N19" s="38"/>
      <c r="P19" s="30"/>
      <c r="Q19" s="39"/>
      <c r="R19" s="39"/>
      <c r="S19" s="39"/>
      <c r="T19" s="39"/>
      <c r="U19" s="39"/>
      <c r="V19" s="39"/>
      <c r="W19" s="39"/>
    </row>
    <row r="20" spans="1:23" ht="27.75" customHeight="1" hidden="1">
      <c r="A20" s="30" t="s">
        <v>23</v>
      </c>
      <c r="B20" s="30"/>
      <c r="C20" s="30"/>
      <c r="D20" s="30"/>
      <c r="E20" s="30"/>
      <c r="F20" s="30"/>
      <c r="G20" s="30"/>
      <c r="H20" s="30"/>
      <c r="I20" s="30"/>
      <c r="J20" s="26" t="s">
        <v>31</v>
      </c>
      <c r="K20" s="30"/>
      <c r="L20" s="30"/>
      <c r="M20" s="30"/>
      <c r="N20" s="30"/>
      <c r="Q20" s="39"/>
      <c r="R20" s="318"/>
      <c r="S20" s="318"/>
      <c r="T20" s="318"/>
      <c r="U20" s="39"/>
      <c r="V20" s="39"/>
      <c r="W20" s="39"/>
    </row>
    <row r="21" spans="1:20" ht="27.75" customHeight="1" hidden="1">
      <c r="A21" s="40" t="s">
        <v>24</v>
      </c>
      <c r="B21" s="40" t="s">
        <v>25</v>
      </c>
      <c r="C21" s="40" t="s">
        <v>26</v>
      </c>
      <c r="D21" s="40" t="s">
        <v>27</v>
      </c>
      <c r="E21" s="41"/>
      <c r="F21" s="42"/>
      <c r="G21" s="22" t="s">
        <v>28</v>
      </c>
      <c r="H21" s="312" t="s">
        <v>29</v>
      </c>
      <c r="I21" s="313"/>
      <c r="J21" s="310" t="s">
        <v>30</v>
      </c>
      <c r="K21" s="311"/>
      <c r="L21" s="419" t="s">
        <v>8</v>
      </c>
      <c r="M21" s="419"/>
      <c r="N21" s="39" t="s">
        <v>100</v>
      </c>
      <c r="O21" s="74" t="s">
        <v>5</v>
      </c>
      <c r="P21" s="74"/>
      <c r="Q21" s="70" t="s">
        <v>73</v>
      </c>
      <c r="R21" s="39" t="s">
        <v>74</v>
      </c>
      <c r="S21" s="39" t="s">
        <v>75</v>
      </c>
      <c r="T21" s="39" t="s">
        <v>76</v>
      </c>
    </row>
    <row r="22" spans="1:20" ht="27.75" customHeight="1" hidden="1">
      <c r="A22" s="43" t="str">
        <f>VLOOKUP($A$4&amp;1,'ER Core Function Parameter'!$A:$E,5,0)</f>
        <v>026</v>
      </c>
      <c r="B22" s="44">
        <f>VLOOKUP($A$4&amp;$A22,'ER Core Function Parameter'!$B:$F,5,0)</f>
        <v>0.03872</v>
      </c>
      <c r="C22" s="44">
        <f>VLOOKUP($A$4&amp;$A22,'ER Core Function Parameter'!$B:$G,6,0)</f>
        <v>3.70507E-08</v>
      </c>
      <c r="D22" s="44">
        <f>VLOOKUP($A$4&amp;$A22,'ER Core Function Parameter'!$B:$H,7,0)</f>
        <v>3.3317</v>
      </c>
      <c r="E22" s="30"/>
      <c r="F22" s="46"/>
      <c r="G22" s="47" t="str">
        <f>VLOOKUP($A$4&amp;1,'ER Core Function Parameter'!$A:$E,5,0)</f>
        <v>026</v>
      </c>
      <c r="H22" s="308">
        <f>VLOOKUP($A$4&amp;$G22,'ER Core Function Parameter'!$B:$O,14,0)</f>
        <v>2.252</v>
      </c>
      <c r="I22" s="309"/>
      <c r="J22" s="308">
        <f>VLOOKUP($A$4&amp;$G22,'ER Core Function Parameter'!$B:$P,15,0)</f>
        <v>4.081</v>
      </c>
      <c r="K22" s="309"/>
      <c r="L22" s="308">
        <f>VLOOKUP($A$4&amp;$G22,'ER Core Function Parameter'!$B:$Q,16,0)</f>
        <v>0.0006</v>
      </c>
      <c r="M22" s="309"/>
      <c r="N22" s="39">
        <f>VLOOKUP($A$4&amp;$G22,'ER Core Function Parameter'!$B:$R,17,0)</f>
        <v>2.736</v>
      </c>
      <c r="O22" s="93" t="str">
        <f>VLOOKUP($A$4&amp;1,'ER Core Function Parameter'!$A:$E,5,0)</f>
        <v>026</v>
      </c>
      <c r="P22" s="93"/>
      <c r="Q22" s="71">
        <f>VLOOKUP($A$4&amp;$D$4&amp;$O22,'ER Core AL'!$A:$G,7,0)</f>
        <v>64</v>
      </c>
      <c r="R22" s="71">
        <f>VLOOKUP($A$4&amp;$D$4&amp;$O22,'ER Core AL'!$A:$H,8,0)</f>
        <v>0.03872</v>
      </c>
      <c r="S22" s="71">
        <f>VLOOKUP($A$4&amp;$D$4&amp;$O22,'ER Core AL'!$A:$I,9,0)</f>
        <v>3.70507E-08</v>
      </c>
      <c r="T22" s="71">
        <f>VLOOKUP($A$4&amp;$D$4&amp;$O22,'ER Core AL'!$A:$J,10,0)</f>
        <v>3.3317</v>
      </c>
    </row>
    <row r="23" spans="1:20" ht="27.75" customHeight="1" hidden="1">
      <c r="A23" s="43" t="str">
        <f>VLOOKUP($A$4&amp;2,'ER Core Function Parameter'!$A:$E,5,0)</f>
        <v>040</v>
      </c>
      <c r="B23" s="44">
        <f>VLOOKUP($A$4&amp;$A23,'ER Core Function Parameter'!$B:$F,5,0)</f>
        <v>0.02544</v>
      </c>
      <c r="C23" s="44">
        <f>VLOOKUP($A$4&amp;$A23,'ER Core Function Parameter'!$B:$G,6,0)</f>
        <v>2.08231E-09</v>
      </c>
      <c r="D23" s="44">
        <f>VLOOKUP($A$4&amp;$A23,'ER Core Function Parameter'!$B:$H,7,0)</f>
        <v>3.92784</v>
      </c>
      <c r="E23" s="30"/>
      <c r="F23" s="46"/>
      <c r="G23" s="47" t="str">
        <f>VLOOKUP($A$4&amp;2,'ER Core Function Parameter'!$A:$E,5,0)</f>
        <v>040</v>
      </c>
      <c r="H23" s="308">
        <f>VLOOKUP($A$4&amp;$G23,'ER Core Function Parameter'!$B:$O,14,0)</f>
        <v>2.268</v>
      </c>
      <c r="I23" s="309"/>
      <c r="J23" s="308">
        <f>VLOOKUP($A$4&amp;$G23,'ER Core Function Parameter'!$B:$P,15,0)</f>
        <v>3.566</v>
      </c>
      <c r="K23" s="309"/>
      <c r="L23" s="308">
        <f>VLOOKUP($A$4&amp;$G23,'ER Core Function Parameter'!$B:$Q,16,0)</f>
        <v>0.0015</v>
      </c>
      <c r="M23" s="309"/>
      <c r="N23" s="39">
        <f>VLOOKUP($A$4&amp;$G23,'ER Core Function Parameter'!$B:$R,17,0)</f>
        <v>2.567</v>
      </c>
      <c r="O23" s="93" t="str">
        <f>VLOOKUP($A$4&amp;2,'ER Core Function Parameter'!$A:$E,5,0)</f>
        <v>040</v>
      </c>
      <c r="P23" s="93"/>
      <c r="Q23" s="71">
        <f>VLOOKUP($A$4&amp;$D$4&amp;$O23,'ER Core AL'!$A:$G,7,0)</f>
        <v>99</v>
      </c>
      <c r="R23" s="71">
        <f>VLOOKUP($A$4&amp;$D$4&amp;$O23,'ER Core AL'!$A:$H,8,0)</f>
        <v>0.02544</v>
      </c>
      <c r="S23" s="71">
        <f>VLOOKUP($A$4&amp;$D$4&amp;$O23,'ER Core AL'!$A:$I,9,0)</f>
        <v>2.08231E-09</v>
      </c>
      <c r="T23" s="71">
        <f>VLOOKUP($A$4&amp;$D$4&amp;$O23,'ER Core AL'!$A:$J,10,0)</f>
        <v>3.92784</v>
      </c>
    </row>
    <row r="24" spans="1:20" ht="27.75" customHeight="1" hidden="1">
      <c r="A24" s="43" t="str">
        <f>VLOOKUP($A$4&amp;3,'ER Core Function Parameter'!$A:$E,5,0)</f>
        <v>060</v>
      </c>
      <c r="B24" s="44">
        <f>VLOOKUP($A$4&amp;$A24,'ER Core Function Parameter'!$B:$F,5,0)</f>
        <v>0.01689</v>
      </c>
      <c r="C24" s="44">
        <f>VLOOKUP($A$4&amp;$A24,'ER Core Function Parameter'!$B:$G,6,0)</f>
        <v>8.76395E-09</v>
      </c>
      <c r="D24" s="44">
        <f>VLOOKUP($A$4&amp;$A24,'ER Core Function Parameter'!$B:$H,7,0)</f>
        <v>3.7268</v>
      </c>
      <c r="E24" s="30"/>
      <c r="F24" s="46"/>
      <c r="G24" s="47" t="str">
        <f>VLOOKUP($A$4&amp;3,'ER Core Function Parameter'!$A:$E,5,0)</f>
        <v>060</v>
      </c>
      <c r="H24" s="308">
        <f>VLOOKUP($A$4&amp;$G24,'ER Core Function Parameter'!$B:$O,14,0)</f>
        <v>2.284</v>
      </c>
      <c r="I24" s="309"/>
      <c r="J24" s="308">
        <f>VLOOKUP($A$4&amp;$G24,'ER Core Function Parameter'!$B:$P,15,0)</f>
        <v>3.05</v>
      </c>
      <c r="K24" s="309"/>
      <c r="L24" s="308">
        <f>VLOOKUP($A$4&amp;$G24,'ER Core Function Parameter'!$B:$Q,16,0)</f>
        <v>0.0023</v>
      </c>
      <c r="M24" s="309"/>
      <c r="N24" s="39">
        <f>VLOOKUP($A$4&amp;$G24,'ER Core Function Parameter'!$B:$R,17,0)</f>
        <v>2.397</v>
      </c>
      <c r="O24" s="93" t="str">
        <f>VLOOKUP($A$4&amp;3,'ER Core Function Parameter'!$A:$E,5,0)</f>
        <v>060</v>
      </c>
      <c r="P24" s="93"/>
      <c r="Q24" s="71">
        <f>VLOOKUP($A$4&amp;$D$4&amp;$O24,'ER Core AL'!$A:$G,7,0)</f>
        <v>148</v>
      </c>
      <c r="R24" s="71">
        <f>VLOOKUP($A$4&amp;$D$4&amp;$O24,'ER Core AL'!$A:$H,8,0)</f>
        <v>0.01689</v>
      </c>
      <c r="S24" s="71">
        <f>VLOOKUP($A$4&amp;$D$4&amp;$O24,'ER Core AL'!$A:$I,9,0)</f>
        <v>8.76395E-09</v>
      </c>
      <c r="T24" s="71">
        <f>VLOOKUP($A$4&amp;$D$4&amp;$O24,'ER Core AL'!$A:$J,10,0)</f>
        <v>3.7268</v>
      </c>
    </row>
    <row r="25" spans="1:20" ht="27.75" customHeight="1" hidden="1">
      <c r="A25" s="43" t="e">
        <f>VLOOKUP($A$4&amp;4,'ER Core Function Parameter'!$A:$E,5,0)</f>
        <v>#N/A</v>
      </c>
      <c r="B25" s="44" t="e">
        <f>VLOOKUP($A$4&amp;$A25,'ER Core Function Parameter'!$B:$F,5,0)</f>
        <v>#N/A</v>
      </c>
      <c r="C25" s="44" t="e">
        <f>VLOOKUP($A$4&amp;$A25,'ER Core Function Parameter'!$B:$G,6,0)</f>
        <v>#N/A</v>
      </c>
      <c r="D25" s="44" t="e">
        <f>VLOOKUP($A$4&amp;$A25,'ER Core Function Parameter'!$B:$H,7,0)</f>
        <v>#N/A</v>
      </c>
      <c r="E25" s="30"/>
      <c r="F25" s="46"/>
      <c r="G25" s="47" t="e">
        <f>VLOOKUP($A$4&amp;4,'ER Core Function Parameter'!$A:$E,5,0)</f>
        <v>#N/A</v>
      </c>
      <c r="H25" s="308" t="e">
        <f>VLOOKUP($A$4&amp;$G25,'ER Core Function Parameter'!$B:$O,14,0)</f>
        <v>#N/A</v>
      </c>
      <c r="I25" s="309"/>
      <c r="J25" s="308" t="e">
        <f>VLOOKUP($A$4&amp;$G25,'ER Core Function Parameter'!$B:$P,15,0)</f>
        <v>#N/A</v>
      </c>
      <c r="K25" s="309"/>
      <c r="L25" s="308" t="e">
        <f>VLOOKUP($A$4&amp;$G25,'ER Core Function Parameter'!$B:$Q,16,0)</f>
        <v>#N/A</v>
      </c>
      <c r="M25" s="309"/>
      <c r="N25" s="39"/>
      <c r="O25" s="93" t="e">
        <f>VLOOKUP($A$4&amp;4,'ER Core Function Parameter'!$A:$E,5,0)</f>
        <v>#N/A</v>
      </c>
      <c r="P25" s="93"/>
      <c r="Q25" s="71" t="e">
        <f>VLOOKUP($A$4&amp;$D$4&amp;$O25,'ER Core AL'!$A:$G,7,0)</f>
        <v>#N/A</v>
      </c>
      <c r="R25" s="71" t="e">
        <f>VLOOKUP($A$4&amp;$D$4&amp;$O25,'ER Core AL'!$A:$H,8,0)</f>
        <v>#N/A</v>
      </c>
      <c r="S25" s="71" t="e">
        <f>VLOOKUP($A$4&amp;$D$4&amp;$O25,'ER Core AL'!$A:$I,9,0)</f>
        <v>#N/A</v>
      </c>
      <c r="T25" s="71" t="e">
        <f>VLOOKUP($A$4&amp;$D$4&amp;$O25,'ER Core AL'!$A:$J,10,0)</f>
        <v>#N/A</v>
      </c>
    </row>
    <row r="26" spans="1:20" ht="27.75" customHeight="1" hidden="1">
      <c r="A26" s="43" t="e">
        <f>VLOOKUP($A$4&amp;5,'ER Core Function Parameter'!$A:$E,5,0)</f>
        <v>#N/A</v>
      </c>
      <c r="B26" s="44" t="e">
        <f>VLOOKUP($A$4&amp;$A26,'ER Core Function Parameter'!$B:$F,5,0)</f>
        <v>#N/A</v>
      </c>
      <c r="C26" s="44" t="e">
        <f>VLOOKUP($A$4&amp;$A26,'ER Core Function Parameter'!$B:$G,6,0)</f>
        <v>#N/A</v>
      </c>
      <c r="D26" s="44" t="e">
        <f>VLOOKUP($A$4&amp;$A26,'ER Core Function Parameter'!$B:$H,7,0)</f>
        <v>#N/A</v>
      </c>
      <c r="E26" s="30"/>
      <c r="F26" s="46"/>
      <c r="G26" s="47" t="e">
        <f>VLOOKUP($A$4&amp;5,'ER Core Function Parameter'!$A:$E,5,0)</f>
        <v>#N/A</v>
      </c>
      <c r="H26" s="308" t="e">
        <f>VLOOKUP($A$4&amp;$G26,'ER Core Function Parameter'!$B:$O,14,0)</f>
        <v>#N/A</v>
      </c>
      <c r="I26" s="309"/>
      <c r="J26" s="308" t="e">
        <f>VLOOKUP($A$4&amp;$G26,'ER Core Function Parameter'!$B:$P,15,0)</f>
        <v>#N/A</v>
      </c>
      <c r="K26" s="309"/>
      <c r="L26" s="308" t="e">
        <f>VLOOKUP($A$4&amp;$G26,'ER Core Function Parameter'!$B:$Q,16,0)</f>
        <v>#N/A</v>
      </c>
      <c r="M26" s="309"/>
      <c r="N26" s="39"/>
      <c r="O26" s="93" t="e">
        <f>VLOOKUP($A$4&amp;5,'ER Core Function Parameter'!$A:$E,5,0)</f>
        <v>#N/A</v>
      </c>
      <c r="P26" s="93"/>
      <c r="Q26" s="71" t="e">
        <f>VLOOKUP($A$4&amp;$D$4&amp;$O26,'ER Core AL'!$A:$G,7,0)</f>
        <v>#N/A</v>
      </c>
      <c r="R26" s="45"/>
      <c r="S26" s="45"/>
      <c r="T26" s="45"/>
    </row>
    <row r="27" spans="1:20" ht="27.75" customHeight="1" hidden="1">
      <c r="A27" s="43" t="e">
        <f>VLOOKUP($A$4&amp;6,'ER Core Function Parameter'!$A:$E,5,0)</f>
        <v>#N/A</v>
      </c>
      <c r="B27" s="44" t="e">
        <f>VLOOKUP($A$4&amp;$A27,'ER Core Function Parameter'!$B:$F,5,0)</f>
        <v>#N/A</v>
      </c>
      <c r="C27" s="44" t="e">
        <f>VLOOKUP($A$4&amp;$A27,'ER Core Function Parameter'!$B:$G,6,0)</f>
        <v>#N/A</v>
      </c>
      <c r="D27" s="44" t="e">
        <f>VLOOKUP($A$4&amp;$A27,'ER Core Function Parameter'!$B:$H,7,0)</f>
        <v>#N/A</v>
      </c>
      <c r="E27" s="30"/>
      <c r="F27" s="46"/>
      <c r="G27" s="47" t="e">
        <f>VLOOKUP($A$4&amp;6,'ER Core Function Parameter'!$A:$E,5,0)</f>
        <v>#N/A</v>
      </c>
      <c r="H27" s="308" t="e">
        <f>VLOOKUP($A$4&amp;$G27,'ER Core Function Parameter'!$B:$O,14,0)</f>
        <v>#N/A</v>
      </c>
      <c r="I27" s="309"/>
      <c r="J27" s="308" t="e">
        <f>VLOOKUP($A$4&amp;$G27,'ER Core Function Parameter'!$B:$P,15,0)</f>
        <v>#N/A</v>
      </c>
      <c r="K27" s="309"/>
      <c r="L27" s="308" t="e">
        <f>VLOOKUP($A$4&amp;$G27,'ER Core Function Parameter'!$B:$Q,16,0)</f>
        <v>#N/A</v>
      </c>
      <c r="M27" s="309"/>
      <c r="N27" s="39"/>
      <c r="O27" s="93" t="e">
        <f>VLOOKUP($A$4&amp;6,'ER Core Function Parameter'!$A:$E,5,0)</f>
        <v>#N/A</v>
      </c>
      <c r="P27" s="93"/>
      <c r="Q27" s="71" t="e">
        <f>VLOOKUP($A$4&amp;$D$4&amp;$O27,'ER Core AL'!$A:$G,7,0)</f>
        <v>#N/A</v>
      </c>
      <c r="R27" s="45"/>
      <c r="S27" s="45"/>
      <c r="T27" s="45"/>
    </row>
    <row r="28" spans="1:20" ht="27.75" customHeight="1" hidden="1">
      <c r="A28" s="43" t="e">
        <f>VLOOKUP($A$4&amp;7,'ER Core Function Parameter'!$A:$E,5,0)</f>
        <v>#N/A</v>
      </c>
      <c r="B28" s="44" t="e">
        <f>VLOOKUP($A$4&amp;$A28,'ER Core Function Parameter'!$B:$F,5,0)</f>
        <v>#N/A</v>
      </c>
      <c r="C28" s="44" t="e">
        <f>VLOOKUP($A$4&amp;$A28,'ER Core Function Parameter'!$B:$G,6,0)</f>
        <v>#N/A</v>
      </c>
      <c r="D28" s="44" t="e">
        <f>VLOOKUP($A$4&amp;$A28,'ER Core Function Parameter'!$B:$H,7,0)</f>
        <v>#N/A</v>
      </c>
      <c r="E28" s="30"/>
      <c r="F28" s="46"/>
      <c r="G28" s="47" t="e">
        <f>VLOOKUP($A$4&amp;7,'ER Core Function Parameter'!$A:$E,5,0)</f>
        <v>#N/A</v>
      </c>
      <c r="H28" s="308" t="e">
        <f>VLOOKUP($A$4&amp;$G28,'ER Core Function Parameter'!$B:$O,14,0)</f>
        <v>#N/A</v>
      </c>
      <c r="I28" s="309"/>
      <c r="J28" s="308" t="e">
        <f>VLOOKUP($A$4&amp;$G28,'ER Core Function Parameter'!$B:$P,15,0)</f>
        <v>#N/A</v>
      </c>
      <c r="K28" s="309"/>
      <c r="L28" s="308" t="e">
        <f>VLOOKUP($A$4&amp;$G28,'ER Core Function Parameter'!$B:$Q,16,0)</f>
        <v>#N/A</v>
      </c>
      <c r="M28" s="309"/>
      <c r="N28" s="39"/>
      <c r="O28" s="93" t="e">
        <f>VLOOKUP($A$4&amp;7,'ER Core Function Parameter'!$A:$E,5,0)</f>
        <v>#N/A</v>
      </c>
      <c r="P28" s="93"/>
      <c r="Q28" s="71" t="e">
        <f>VLOOKUP($A$4&amp;$D$4&amp;$O28,'ER Core AL'!$A:$G,7,0)</f>
        <v>#N/A</v>
      </c>
      <c r="R28" s="45"/>
      <c r="S28" s="45"/>
      <c r="T28" s="45"/>
    </row>
    <row r="29" spans="1:20" ht="24" customHeight="1" thickBot="1">
      <c r="A29" s="111" t="s">
        <v>34</v>
      </c>
      <c r="K29" s="191" t="s">
        <v>21</v>
      </c>
      <c r="L29" s="192"/>
      <c r="M29" s="193"/>
      <c r="N29" s="193"/>
      <c r="O29" s="193"/>
      <c r="P29" s="94"/>
      <c r="Q29" s="193"/>
      <c r="R29" s="193"/>
      <c r="S29" s="193"/>
      <c r="T29" s="234"/>
    </row>
    <row r="30" spans="1:20" ht="18" customHeight="1">
      <c r="A30" s="396" t="s">
        <v>338</v>
      </c>
      <c r="B30" s="449" t="s">
        <v>106</v>
      </c>
      <c r="C30" s="449"/>
      <c r="D30" s="451" t="str">
        <f>K32</f>
        <v>026</v>
      </c>
      <c r="E30" s="451"/>
      <c r="F30" s="453" t="str">
        <f>K33</f>
        <v>040</v>
      </c>
      <c r="G30" s="454"/>
      <c r="H30" s="220" t="str">
        <f>K34</f>
        <v>060</v>
      </c>
      <c r="I30" s="343"/>
      <c r="J30" s="343"/>
      <c r="K30" s="371" t="s">
        <v>106</v>
      </c>
      <c r="L30" s="443" t="s">
        <v>32</v>
      </c>
      <c r="M30" s="443" t="s">
        <v>363</v>
      </c>
      <c r="N30" s="314" t="s">
        <v>52</v>
      </c>
      <c r="O30" s="442"/>
      <c r="P30" s="316" t="s">
        <v>105</v>
      </c>
      <c r="Q30" s="317"/>
      <c r="R30" s="314" t="s">
        <v>49</v>
      </c>
      <c r="S30" s="315"/>
      <c r="T30" s="235"/>
    </row>
    <row r="31" spans="1:19" ht="17.25" customHeight="1" thickBot="1">
      <c r="A31" s="397"/>
      <c r="B31" s="450" t="s">
        <v>107</v>
      </c>
      <c r="C31" s="450"/>
      <c r="D31" s="452">
        <f>Q22</f>
        <v>64</v>
      </c>
      <c r="E31" s="452"/>
      <c r="F31" s="391">
        <f>Q23</f>
        <v>99</v>
      </c>
      <c r="G31" s="392"/>
      <c r="H31" s="219">
        <f>Q24</f>
        <v>148</v>
      </c>
      <c r="I31" s="343"/>
      <c r="J31" s="343"/>
      <c r="K31" s="372"/>
      <c r="L31" s="444"/>
      <c r="M31" s="444"/>
      <c r="N31" s="76" t="s">
        <v>53</v>
      </c>
      <c r="O31" s="76" t="s">
        <v>54</v>
      </c>
      <c r="P31" s="69" t="s">
        <v>50</v>
      </c>
      <c r="Q31" s="69" t="s">
        <v>51</v>
      </c>
      <c r="R31" s="69" t="s">
        <v>50</v>
      </c>
      <c r="S31" s="78" t="s">
        <v>51</v>
      </c>
    </row>
    <row r="32" spans="1:19" ht="18" customHeight="1" thickBot="1" thickTop="1">
      <c r="A32" s="281">
        <v>0</v>
      </c>
      <c r="B32" s="411">
        <f aca="true" t="shared" si="2" ref="B32:B37">0.4*PI()*$E$10*$A32/$R$3</f>
        <v>0</v>
      </c>
      <c r="C32" s="414"/>
      <c r="D32" s="341">
        <f>Q22*E10*E10/1000</f>
        <v>1.024</v>
      </c>
      <c r="E32" s="342"/>
      <c r="F32" s="344">
        <f>Q23*E10*E10/1000</f>
        <v>1.584</v>
      </c>
      <c r="G32" s="345"/>
      <c r="H32" s="294">
        <f>Q24*E10*E10/1000</f>
        <v>2.368</v>
      </c>
      <c r="I32" s="189"/>
      <c r="J32" s="189"/>
      <c r="K32" s="221" t="str">
        <f>G22</f>
        <v>026</v>
      </c>
      <c r="L32" s="208">
        <f>$J$15*$J$14/M32</f>
        <v>31.82734936589737</v>
      </c>
      <c r="M32" s="206">
        <f>D36</f>
        <v>0.9425855623448381</v>
      </c>
      <c r="N32" s="68">
        <f>L32*M32*100/(2*$E$10*$R$4)</f>
        <v>328.94736842105266</v>
      </c>
      <c r="O32" s="112">
        <f>L32*M32*100/($E$10*$R$4)</f>
        <v>657.8947368421053</v>
      </c>
      <c r="P32" s="117">
        <f>(N32*0.001)^H22*(J22*$J$13+L22*$J$13^N22)</f>
        <v>261.8575253738982</v>
      </c>
      <c r="Q32" s="118">
        <f>(O32*0.001)^H22*(J22*$J$13+L22*$J$13^N22)</f>
        <v>1247.3393105970706</v>
      </c>
      <c r="R32" s="141">
        <f aca="true" t="shared" si="3" ref="R32:S34">P32*$R$6*0.001</f>
        <v>1.7343871335614776</v>
      </c>
      <c r="S32" s="139">
        <f t="shared" si="3"/>
        <v>8.261627189808637</v>
      </c>
    </row>
    <row r="33" spans="1:19" ht="18" customHeight="1" thickTop="1">
      <c r="A33" s="281">
        <f>A35/3</f>
        <v>26.666666666666668</v>
      </c>
      <c r="B33" s="411">
        <f t="shared" si="2"/>
        <v>23.070789423952586</v>
      </c>
      <c r="C33" s="411"/>
      <c r="D33" s="339">
        <f>0.4*PI()*$E$10^2*$R$4*0.01*(1/($R$22+$S$22*B33^($T$22-1)))/$R$3</f>
        <v>1.0174128102253666</v>
      </c>
      <c r="E33" s="339"/>
      <c r="F33" s="407">
        <f>0.4*PI()*$E$10^2*$R$4*0.01*(1/($R$23+$S$23*B33^($T$23-1)))/$R$3</f>
        <v>1.5495070204157626</v>
      </c>
      <c r="G33" s="408"/>
      <c r="H33" s="246">
        <f>0.4*PI()*$E$10^2*$R$4*0.01*(1/($R$24+$S$24*B33^($T$24-1)))/$R$3</f>
        <v>2.3294668795277538</v>
      </c>
      <c r="I33" s="190"/>
      <c r="J33" s="189"/>
      <c r="K33" s="221" t="str">
        <f>G23</f>
        <v>040</v>
      </c>
      <c r="L33" s="208">
        <f>$J$15*$J$14/M33</f>
        <v>21.781483254645856</v>
      </c>
      <c r="M33" s="206">
        <f>F36</f>
        <v>1.3773166707368831</v>
      </c>
      <c r="N33" s="68">
        <f>L33*M33*100/(2*$E$10*$R$4)</f>
        <v>328.94736842105266</v>
      </c>
      <c r="O33" s="112">
        <f>L33*M33*100/($E$10*$R$4)</f>
        <v>657.8947368421053</v>
      </c>
      <c r="P33" s="119">
        <f>(N33*0.001)^H23*(J23*$J$13+L23*$J$13^N23)</f>
        <v>243.97218049660668</v>
      </c>
      <c r="Q33" s="120">
        <f>(O33*0.001)^H23*(J23*$J$13+L23*$J$13^N23)</f>
        <v>1175.1040900660087</v>
      </c>
      <c r="R33" s="142">
        <f t="shared" si="3"/>
        <v>1.6159253403012244</v>
      </c>
      <c r="S33" s="140">
        <f t="shared" si="3"/>
        <v>7.783184430143201</v>
      </c>
    </row>
    <row r="34" spans="1:19" ht="18" customHeight="1" thickBot="1">
      <c r="A34" s="281">
        <f>A35*2/3</f>
        <v>53.333333333333336</v>
      </c>
      <c r="B34" s="411">
        <f t="shared" si="2"/>
        <v>46.14157884790517</v>
      </c>
      <c r="C34" s="411"/>
      <c r="D34" s="339">
        <f>0.4*PI()*$E$10^2*$R$4*0.01*(1/($R$22+$S$22*B34^($T$22-1)))/$R$3</f>
        <v>1.011535173998548</v>
      </c>
      <c r="E34" s="339"/>
      <c r="F34" s="393">
        <f>0.4*PI()*$E$10^2*$R$4*0.01*(1/($R$23+$S$23*B34^($T$23-1)))/$R$3</f>
        <v>1.5413488647584772</v>
      </c>
      <c r="G34" s="394"/>
      <c r="H34" s="246">
        <f>0.4*PI()*$E$10^2*$R$4*0.01*(1/($R$24+$S$24*B34^($T$24-1)))/$R$3</f>
        <v>2.2947014180443346</v>
      </c>
      <c r="I34" s="190"/>
      <c r="J34" s="189"/>
      <c r="K34" s="222" t="str">
        <f>G24</f>
        <v>060</v>
      </c>
      <c r="L34" s="209">
        <f>$J$15*$J$14/M34</f>
        <v>16.698507294044102</v>
      </c>
      <c r="M34" s="205">
        <f>H36</f>
        <v>1.796567769305953</v>
      </c>
      <c r="N34" s="77">
        <f>L34*M34*100/(2*$E$10*$R$4)</f>
        <v>328.9473684210526</v>
      </c>
      <c r="O34" s="186">
        <f>L34*M34*100/($E$10*$R$4)</f>
        <v>657.8947368421052</v>
      </c>
      <c r="P34" s="217">
        <f>(N34*0.001)^H24*(J24*$J$13+L24*$J$13^N24)</f>
        <v>161.7230312423072</v>
      </c>
      <c r="Q34" s="218">
        <f>(O34*0.001)^H24*(J24*$J$13+L24*$J$13^N24)</f>
        <v>787.6338691032231</v>
      </c>
      <c r="R34" s="187">
        <f t="shared" si="3"/>
        <v>1.0711563251302973</v>
      </c>
      <c r="S34" s="188">
        <f t="shared" si="3"/>
        <v>5.216814168618288</v>
      </c>
    </row>
    <row r="35" spans="1:22" ht="18" customHeight="1" thickBot="1">
      <c r="A35" s="292">
        <f>J11</f>
        <v>80</v>
      </c>
      <c r="B35" s="411">
        <f t="shared" si="2"/>
        <v>69.21236827185776</v>
      </c>
      <c r="C35" s="411"/>
      <c r="D35" s="370">
        <f>0.4*PI()*$E$10^2*$R$4*0.01*(1/($R$22+$S$22*B35^($T$22-1)))/$R$3</f>
        <v>1.0001865844069722</v>
      </c>
      <c r="E35" s="370"/>
      <c r="F35" s="445">
        <f>0.4*PI()*$E$10^2*$R$4*0.01*(1/($R$23+$S$23*B35^($T$23-1)))/$R$3</f>
        <v>1.5203583270090828</v>
      </c>
      <c r="G35" s="446"/>
      <c r="H35" s="298">
        <f>0.4*PI()*$E$10^2*$R$4*0.01*(1/($R$24+$S$24*B35^($T$24-1)))/$R$3</f>
        <v>2.215966634592302</v>
      </c>
      <c r="I35" s="190"/>
      <c r="J35" s="189"/>
      <c r="K35" s="189"/>
      <c r="L35" s="75"/>
      <c r="M35" s="357"/>
      <c r="N35" s="357"/>
      <c r="O35" s="367"/>
      <c r="P35" s="367"/>
      <c r="Q35" s="182"/>
      <c r="R35" s="182"/>
      <c r="S35" s="183"/>
      <c r="T35" s="183"/>
      <c r="U35" s="184"/>
      <c r="V35" s="184"/>
    </row>
    <row r="36" spans="1:23" ht="18" customHeight="1" thickBot="1" thickTop="1">
      <c r="A36" s="282">
        <f>J12</f>
        <v>150</v>
      </c>
      <c r="B36" s="412">
        <f t="shared" si="2"/>
        <v>129.77319050973327</v>
      </c>
      <c r="C36" s="413"/>
      <c r="D36" s="341">
        <f>0.4*PI()*$E$10^2*$R$4*0.01*(1/($R$22+$S$22*B36^($T$22-1)))/$R$3</f>
        <v>0.9425855623448381</v>
      </c>
      <c r="E36" s="342"/>
      <c r="F36" s="344">
        <f>0.4*PI()*$E$10^2*$R$4*0.01*(1/($R$23+$S$23*B36^($T$23-1)))/$R$3</f>
        <v>1.3773166707368831</v>
      </c>
      <c r="G36" s="345"/>
      <c r="H36" s="294">
        <f>0.4*PI()*$E$10^2*$R$4*0.01*(1/($R$24+$S$24*B36^($T$24-1)))/$R$3</f>
        <v>1.796567769305953</v>
      </c>
      <c r="I36" s="189"/>
      <c r="J36" s="189"/>
      <c r="K36" s="189"/>
      <c r="L36" s="75"/>
      <c r="M36" s="74"/>
      <c r="N36" s="357"/>
      <c r="O36" s="357"/>
      <c r="P36" s="367"/>
      <c r="Q36" s="367"/>
      <c r="R36" s="182"/>
      <c r="S36" s="182"/>
      <c r="T36" s="183"/>
      <c r="U36" s="183"/>
      <c r="V36" s="184"/>
      <c r="W36" s="184"/>
    </row>
    <row r="37" spans="1:23" ht="18" customHeight="1" thickBot="1" thickTop="1">
      <c r="A37" s="283">
        <f>A36*1.2</f>
        <v>180</v>
      </c>
      <c r="B37" s="395">
        <f t="shared" si="2"/>
        <v>155.72782861167994</v>
      </c>
      <c r="C37" s="395"/>
      <c r="D37" s="390">
        <f>0.4*PI()*$E$10^2*$R$4*0.01*(1/($R$22+$S$22*B37^($T$22-1)))/$R$3</f>
        <v>0.9066199930416836</v>
      </c>
      <c r="E37" s="390"/>
      <c r="F37" s="361">
        <f>0.4*PI()*$E$10^2*$R$4*0.01*(1/($R$23+$S$23*B37^($T$23-1)))/$R$3</f>
        <v>1.2766029733334745</v>
      </c>
      <c r="G37" s="362"/>
      <c r="H37" s="247">
        <f>0.4*PI()*$E$10^2*$R$4*0.01*(1/($R$24+$S$24*B37^($T$24-1)))/$R$3</f>
        <v>1.5640394571403597</v>
      </c>
      <c r="I37" s="190"/>
      <c r="J37" s="189"/>
      <c r="K37" s="189"/>
      <c r="L37" s="75"/>
      <c r="M37" s="74"/>
      <c r="N37" s="357"/>
      <c r="O37" s="357"/>
      <c r="P37" s="367"/>
      <c r="Q37" s="367"/>
      <c r="R37" s="182"/>
      <c r="S37" s="182"/>
      <c r="T37" s="183"/>
      <c r="U37" s="183"/>
      <c r="V37" s="185"/>
      <c r="W37" s="185"/>
    </row>
    <row r="38" spans="1:23" ht="18" customHeight="1" thickBot="1">
      <c r="A38" s="384" t="s">
        <v>39</v>
      </c>
      <c r="B38" s="385"/>
      <c r="C38" s="385"/>
      <c r="D38" s="389">
        <f>D36/D32</f>
        <v>0.9204937132273809</v>
      </c>
      <c r="E38" s="389"/>
      <c r="F38" s="363">
        <f>F36/F32</f>
        <v>0.8695181002126787</v>
      </c>
      <c r="G38" s="364"/>
      <c r="H38" s="223">
        <f>H36/H32</f>
        <v>0.7586857133893383</v>
      </c>
      <c r="I38" s="49"/>
      <c r="J38" s="49" t="e">
        <f>#REF!/#REF!</f>
        <v>#REF!</v>
      </c>
      <c r="K38" s="49" t="e">
        <f>J36/J32</f>
        <v>#DIV/0!</v>
      </c>
      <c r="L38" s="49" t="e">
        <f>K36/#REF!</f>
        <v>#REF!</v>
      </c>
      <c r="M38" s="48"/>
      <c r="N38" s="74"/>
      <c r="O38" s="357"/>
      <c r="P38" s="357"/>
      <c r="Q38" s="367"/>
      <c r="R38" s="367"/>
      <c r="S38" s="182"/>
      <c r="T38" s="182"/>
      <c r="U38" s="183"/>
      <c r="V38" s="183"/>
      <c r="W38" s="185"/>
    </row>
    <row r="39" spans="1:23" ht="15.75" thickBot="1">
      <c r="A39" s="351"/>
      <c r="B39" s="351"/>
      <c r="C39" s="351"/>
      <c r="D39" s="346"/>
      <c r="E39" s="346"/>
      <c r="F39" s="243"/>
      <c r="G39" s="243"/>
      <c r="H39" s="143"/>
      <c r="I39" s="143"/>
      <c r="J39" s="49"/>
      <c r="K39" s="49"/>
      <c r="L39" s="49"/>
      <c r="M39" s="48"/>
      <c r="N39" s="50"/>
      <c r="O39" s="34"/>
      <c r="P39" s="28"/>
      <c r="Q39" s="51"/>
      <c r="R39" s="28"/>
      <c r="S39" s="28"/>
      <c r="T39" s="52"/>
      <c r="U39" s="74"/>
      <c r="V39" s="87"/>
      <c r="W39" s="28"/>
    </row>
    <row r="40" spans="1:23" ht="16.5" thickBot="1" thickTop="1">
      <c r="A40" s="352"/>
      <c r="B40" s="353"/>
      <c r="C40" s="353"/>
      <c r="D40" s="368" t="s">
        <v>2</v>
      </c>
      <c r="E40" s="369"/>
      <c r="F40" s="369"/>
      <c r="G40" s="359" t="s">
        <v>72</v>
      </c>
      <c r="H40" s="360"/>
      <c r="I40" s="54"/>
      <c r="J40" s="54"/>
      <c r="K40" s="48"/>
      <c r="L40" s="48"/>
      <c r="M40" s="48"/>
      <c r="N40" s="50"/>
      <c r="O40" s="34"/>
      <c r="P40" s="28"/>
      <c r="Q40" s="51"/>
      <c r="R40" s="28"/>
      <c r="S40" s="28"/>
      <c r="T40" s="52"/>
      <c r="U40" s="74"/>
      <c r="V40" s="87"/>
      <c r="W40" s="87"/>
    </row>
    <row r="41" spans="1:23" ht="16.5" thickBot="1" thickTop="1">
      <c r="A41" s="352"/>
      <c r="B41" s="353"/>
      <c r="C41" s="353"/>
      <c r="D41" s="347" t="str">
        <f>A4</f>
        <v>RH(HighFlux)</v>
      </c>
      <c r="E41" s="348"/>
      <c r="F41" s="348"/>
      <c r="G41" s="382" t="str">
        <f>D4</f>
        <v>3020A</v>
      </c>
      <c r="H41" s="383"/>
      <c r="I41" s="27"/>
      <c r="J41" s="29" t="s">
        <v>14</v>
      </c>
      <c r="K41" s="210">
        <f>E10</f>
        <v>4</v>
      </c>
      <c r="L41" s="236"/>
      <c r="M41" s="48"/>
      <c r="N41" s="55"/>
      <c r="O41" s="55"/>
      <c r="P41" s="28"/>
      <c r="Q41" s="51"/>
      <c r="R41" s="28"/>
      <c r="S41" s="28"/>
      <c r="T41" s="52"/>
      <c r="U41" s="84"/>
      <c r="V41" s="85"/>
      <c r="W41" s="85"/>
    </row>
    <row r="42" spans="1:23" ht="15.75" thickTop="1">
      <c r="A42" s="352"/>
      <c r="B42" s="353"/>
      <c r="C42" s="353"/>
      <c r="D42" s="356"/>
      <c r="E42" s="356"/>
      <c r="F42" s="356"/>
      <c r="G42" s="340"/>
      <c r="H42" s="340"/>
      <c r="I42" s="27"/>
      <c r="J42" s="28"/>
      <c r="K42" s="366"/>
      <c r="L42" s="366"/>
      <c r="M42" s="99"/>
      <c r="N42" s="100"/>
      <c r="O42" s="101"/>
      <c r="P42" s="102"/>
      <c r="Q42" s="103"/>
      <c r="R42" s="102"/>
      <c r="S42" s="102"/>
      <c r="T42" s="104"/>
      <c r="U42" s="105"/>
      <c r="V42" s="106"/>
      <c r="W42" s="106"/>
    </row>
    <row r="43" spans="1:23" ht="15">
      <c r="A43" s="352"/>
      <c r="B43" s="353"/>
      <c r="C43" s="353"/>
      <c r="D43" s="365"/>
      <c r="E43" s="365"/>
      <c r="F43" s="53"/>
      <c r="G43" s="53"/>
      <c r="H43" s="54"/>
      <c r="I43" s="54"/>
      <c r="J43" s="54"/>
      <c r="K43" s="99"/>
      <c r="L43" s="99"/>
      <c r="M43" s="99"/>
      <c r="N43" s="107"/>
      <c r="O43" s="107"/>
      <c r="P43" s="107"/>
      <c r="Q43" s="107"/>
      <c r="R43" s="107"/>
      <c r="S43" s="107"/>
      <c r="T43" s="107"/>
      <c r="U43" s="105"/>
      <c r="V43" s="106"/>
      <c r="W43" s="106"/>
    </row>
    <row r="44" spans="1:23" ht="15">
      <c r="A44" s="352"/>
      <c r="B44" s="353"/>
      <c r="C44" s="353"/>
      <c r="D44" s="354"/>
      <c r="E44" s="354"/>
      <c r="F44" s="53"/>
      <c r="G44" s="53"/>
      <c r="H44" s="27"/>
      <c r="I44" s="27"/>
      <c r="K44" s="99"/>
      <c r="L44" s="107"/>
      <c r="M44" s="99"/>
      <c r="N44" s="101"/>
      <c r="O44" s="101"/>
      <c r="P44" s="107"/>
      <c r="Q44" s="107"/>
      <c r="R44" s="107"/>
      <c r="S44" s="107"/>
      <c r="T44" s="107"/>
      <c r="U44" s="105"/>
      <c r="V44" s="106"/>
      <c r="W44" s="106"/>
    </row>
    <row r="45" spans="1:23" ht="15">
      <c r="A45" s="352"/>
      <c r="B45" s="353"/>
      <c r="C45" s="353"/>
      <c r="D45" s="354"/>
      <c r="E45" s="354"/>
      <c r="F45" s="53"/>
      <c r="G45" s="53"/>
      <c r="H45" s="27"/>
      <c r="I45" s="27"/>
      <c r="J45" s="28"/>
      <c r="K45" s="99"/>
      <c r="L45" s="109"/>
      <c r="M45" s="99"/>
      <c r="N45" s="101"/>
      <c r="O45" s="101"/>
      <c r="P45" s="107"/>
      <c r="Q45" s="107"/>
      <c r="R45" s="107"/>
      <c r="S45" s="107"/>
      <c r="T45" s="107"/>
      <c r="U45" s="105"/>
      <c r="V45" s="106"/>
      <c r="W45" s="106"/>
    </row>
    <row r="46" spans="1:23" ht="15">
      <c r="A46" s="352"/>
      <c r="B46" s="353"/>
      <c r="C46" s="353"/>
      <c r="D46" s="354"/>
      <c r="E46" s="354"/>
      <c r="F46" s="53"/>
      <c r="G46" s="53"/>
      <c r="H46" s="27"/>
      <c r="I46" s="27"/>
      <c r="J46" s="28"/>
      <c r="K46" s="99"/>
      <c r="L46" s="109"/>
      <c r="M46" s="99"/>
      <c r="N46" s="101"/>
      <c r="O46" s="101"/>
      <c r="P46" s="107"/>
      <c r="Q46" s="107"/>
      <c r="R46" s="107"/>
      <c r="S46" s="107"/>
      <c r="T46" s="107"/>
      <c r="U46" s="105"/>
      <c r="V46" s="106"/>
      <c r="W46" s="106"/>
    </row>
    <row r="47" spans="1:23" ht="15">
      <c r="A47" s="352"/>
      <c r="B47" s="353">
        <v>29953</v>
      </c>
      <c r="C47" s="353"/>
      <c r="D47" s="48"/>
      <c r="E47" s="48"/>
      <c r="F47" s="53"/>
      <c r="G47" s="53"/>
      <c r="H47" s="27"/>
      <c r="I47" s="27"/>
      <c r="J47" s="28"/>
      <c r="K47" s="99"/>
      <c r="L47" s="109"/>
      <c r="M47" s="99"/>
      <c r="N47" s="101"/>
      <c r="O47" s="101"/>
      <c r="P47" s="107"/>
      <c r="Q47" s="107"/>
      <c r="R47" s="107"/>
      <c r="S47" s="107"/>
      <c r="T47" s="107"/>
      <c r="U47" s="105"/>
      <c r="V47" s="106"/>
      <c r="W47" s="106"/>
    </row>
    <row r="48" spans="1:23" ht="13.5">
      <c r="A48" s="352"/>
      <c r="B48" s="353">
        <v>29954</v>
      </c>
      <c r="C48" s="353"/>
      <c r="D48" s="48"/>
      <c r="E48" s="48"/>
      <c r="F48" s="53"/>
      <c r="G48" s="53"/>
      <c r="H48" s="27"/>
      <c r="I48" s="27"/>
      <c r="J48" s="28"/>
      <c r="K48" s="99"/>
      <c r="L48" s="109"/>
      <c r="M48" s="99"/>
      <c r="N48" s="101"/>
      <c r="O48" s="101"/>
      <c r="P48" s="107"/>
      <c r="Q48" s="107"/>
      <c r="R48" s="107"/>
      <c r="S48" s="107"/>
      <c r="T48" s="107"/>
      <c r="U48" s="107"/>
      <c r="V48" s="107"/>
      <c r="W48" s="107"/>
    </row>
    <row r="49" spans="1:23" ht="15">
      <c r="A49" s="352"/>
      <c r="B49" s="353">
        <v>29955</v>
      </c>
      <c r="C49" s="353"/>
      <c r="D49" s="338"/>
      <c r="E49" s="338"/>
      <c r="F49" s="338"/>
      <c r="G49" s="338"/>
      <c r="H49" s="338"/>
      <c r="I49" s="27"/>
      <c r="J49" s="28"/>
      <c r="K49" s="99"/>
      <c r="L49" s="109"/>
      <c r="M49" s="99"/>
      <c r="N49" s="101"/>
      <c r="O49" s="101"/>
      <c r="P49" s="107"/>
      <c r="Q49" s="107"/>
      <c r="R49" s="107"/>
      <c r="S49" s="107"/>
      <c r="T49" s="107"/>
      <c r="U49" s="107"/>
      <c r="V49" s="107"/>
      <c r="W49" s="107"/>
    </row>
    <row r="50" spans="1:23" ht="15">
      <c r="A50" s="56"/>
      <c r="B50" s="53"/>
      <c r="C50" s="53"/>
      <c r="D50" s="356"/>
      <c r="E50" s="356"/>
      <c r="F50" s="356"/>
      <c r="G50" s="358"/>
      <c r="H50" s="358"/>
      <c r="I50" s="27"/>
      <c r="J50" s="28"/>
      <c r="K50" s="366"/>
      <c r="L50" s="366"/>
      <c r="M50" s="99"/>
      <c r="N50" s="101"/>
      <c r="O50" s="101"/>
      <c r="P50" s="107"/>
      <c r="Q50" s="107"/>
      <c r="R50" s="107"/>
      <c r="S50" s="107"/>
      <c r="T50" s="107"/>
      <c r="U50" s="107"/>
      <c r="V50" s="107"/>
      <c r="W50" s="107"/>
    </row>
    <row r="51" spans="1:23" ht="15">
      <c r="A51" s="56"/>
      <c r="B51" s="349"/>
      <c r="C51" s="349"/>
      <c r="D51" s="350"/>
      <c r="E51" s="350"/>
      <c r="F51" s="244"/>
      <c r="G51" s="244"/>
      <c r="H51" s="58"/>
      <c r="I51" s="54"/>
      <c r="J51" s="54"/>
      <c r="K51" s="99"/>
      <c r="L51" s="99"/>
      <c r="M51" s="109"/>
      <c r="N51" s="108"/>
      <c r="O51" s="108"/>
      <c r="P51" s="108"/>
      <c r="Q51" s="108"/>
      <c r="R51" s="108"/>
      <c r="S51" s="108"/>
      <c r="T51" s="108"/>
      <c r="U51" s="108"/>
      <c r="V51" s="108"/>
      <c r="W51" s="108"/>
    </row>
    <row r="52" spans="1:23" ht="13.5">
      <c r="A52" s="56"/>
      <c r="B52" s="349"/>
      <c r="C52" s="349"/>
      <c r="D52" s="351"/>
      <c r="E52" s="351"/>
      <c r="F52" s="48"/>
      <c r="G52" s="48"/>
      <c r="H52" s="54"/>
      <c r="I52" s="54"/>
      <c r="J52" s="54"/>
      <c r="K52" s="99"/>
      <c r="L52" s="99"/>
      <c r="M52" s="109"/>
      <c r="N52" s="108"/>
      <c r="O52" s="108"/>
      <c r="P52" s="108"/>
      <c r="Q52" s="108"/>
      <c r="R52" s="108"/>
      <c r="S52" s="108"/>
      <c r="T52" s="108"/>
      <c r="U52" s="108"/>
      <c r="V52" s="108"/>
      <c r="W52" s="108"/>
    </row>
    <row r="53" spans="11:23" ht="13.5">
      <c r="K53" s="88"/>
      <c r="L53" s="88"/>
      <c r="M53" s="89"/>
      <c r="N53" s="110"/>
      <c r="O53" s="110"/>
      <c r="P53" s="110"/>
      <c r="Q53" s="110"/>
      <c r="R53" s="110"/>
      <c r="S53" s="110"/>
      <c r="T53" s="110"/>
      <c r="U53" s="110"/>
      <c r="V53" s="110"/>
      <c r="W53" s="110"/>
    </row>
    <row r="54" spans="11:23" ht="13.5" customHeight="1">
      <c r="K54" s="88"/>
      <c r="L54" s="88"/>
      <c r="M54" s="89"/>
      <c r="N54" s="59" t="s">
        <v>55</v>
      </c>
      <c r="O54" s="59" t="s">
        <v>56</v>
      </c>
      <c r="P54" s="60" t="str">
        <f>O22</f>
        <v>026</v>
      </c>
      <c r="Q54" s="60" t="str">
        <f>O23</f>
        <v>040</v>
      </c>
      <c r="R54" s="60" t="str">
        <f>O24</f>
        <v>060</v>
      </c>
      <c r="S54" s="60" t="e">
        <f>O25</f>
        <v>#N/A</v>
      </c>
      <c r="T54" s="60" t="e">
        <f>O26</f>
        <v>#N/A</v>
      </c>
      <c r="U54" s="60" t="e">
        <f>O27</f>
        <v>#N/A</v>
      </c>
      <c r="V54" s="60" t="e">
        <f>O28</f>
        <v>#N/A</v>
      </c>
      <c r="W54" s="60"/>
    </row>
    <row r="55" spans="11:23" ht="13.5">
      <c r="K55" s="88">
        <v>0</v>
      </c>
      <c r="L55" s="88"/>
      <c r="M55" s="89"/>
      <c r="N55" s="61">
        <f>$K$16*K55/50</f>
        <v>0</v>
      </c>
      <c r="O55" s="62">
        <f aca="true" t="shared" si="4" ref="O55:O86">0.4*PI()*$E$10*$N55/$R$3</f>
        <v>0</v>
      </c>
      <c r="P55" s="63">
        <f aca="true" t="shared" si="5" ref="P55:P86">0.4*PI()*$E$10^2*$R$4*0.01*(1/($B$22+$C$22*O55^($D$22-1)))/$R$3</f>
        <v>1.01888042135741</v>
      </c>
      <c r="Q55" s="63">
        <f aca="true" t="shared" si="6" ref="Q55:Q86">0.4*PI()*$E$10^2*$R$4*0.01*(1/($B$23+$C$23*O55^($D$23-1)))/$R$3</f>
        <v>1.5507488174119073</v>
      </c>
      <c r="R55" s="63">
        <f aca="true" t="shared" si="7" ref="R55:R86">0.4*PI()*$E$10^2*$R$4*0.01*(1/($B$24+$C$24*O55^($D$24-1)))/$R$3</f>
        <v>2.335763760506745</v>
      </c>
      <c r="S55" s="63" t="e">
        <f aca="true" t="shared" si="8" ref="S55:S86">0.4*PI()*$E$10^2*$R$4*0.01*(1/($B$25+$C$25*O55^($D$25-1)))/$R$3</f>
        <v>#N/A</v>
      </c>
      <c r="T55" s="63" t="e">
        <f aca="true" t="shared" si="9" ref="T55:T86">0.4*PI()*$E$10^2*$R$4*0.01*(1/($B$26+$C$26*O55^($D$26-1)))/$R$3</f>
        <v>#N/A</v>
      </c>
      <c r="U55" s="63" t="e">
        <f aca="true" t="shared" si="10" ref="U55:U86">0.4*PI()*$E$10^2*$R$4*0.01*(1/($B$27+$C$27*O55^($D$27-1)))/$R$3</f>
        <v>#N/A</v>
      </c>
      <c r="V55" s="63" t="e">
        <f aca="true" t="shared" si="11" ref="V55:V86">0.4*PI()*$E$10^2*$R$4*0.01*(1/($B$28+$C$28*O55^($D$28-1)))/$R$3</f>
        <v>#N/A</v>
      </c>
      <c r="W55" s="63"/>
    </row>
    <row r="56" spans="11:23" ht="13.5">
      <c r="K56" s="88">
        <v>1</v>
      </c>
      <c r="L56" s="88"/>
      <c r="M56" s="89"/>
      <c r="N56" s="61">
        <f>$K$16*K56/50</f>
        <v>3.6</v>
      </c>
      <c r="O56" s="62">
        <f t="shared" si="4"/>
        <v>3.114556572233599</v>
      </c>
      <c r="P56" s="63">
        <f t="shared" si="5"/>
        <v>1.0188666356078504</v>
      </c>
      <c r="Q56" s="63">
        <f t="shared" si="6"/>
        <v>1.5507452843280403</v>
      </c>
      <c r="R56" s="63">
        <f t="shared" si="7"/>
        <v>2.3357369140491238</v>
      </c>
      <c r="S56" s="63" t="e">
        <f t="shared" si="8"/>
        <v>#N/A</v>
      </c>
      <c r="T56" s="63" t="e">
        <f t="shared" si="9"/>
        <v>#N/A</v>
      </c>
      <c r="U56" s="63" t="e">
        <f t="shared" si="10"/>
        <v>#N/A</v>
      </c>
      <c r="V56" s="63" t="e">
        <f t="shared" si="11"/>
        <v>#N/A</v>
      </c>
      <c r="W56" s="63"/>
    </row>
    <row r="57" spans="11:23" ht="13.5">
      <c r="K57" s="88">
        <v>2</v>
      </c>
      <c r="L57" s="88"/>
      <c r="M57" s="89"/>
      <c r="N57" s="61">
        <f aca="true" t="shared" si="12" ref="N57:N105">$K$16*K57/50</f>
        <v>7.2</v>
      </c>
      <c r="O57" s="62">
        <f t="shared" si="4"/>
        <v>6.229113144467198</v>
      </c>
      <c r="P57" s="63">
        <f t="shared" si="5"/>
        <v>1.0188110279326121</v>
      </c>
      <c r="Q57" s="63">
        <f t="shared" si="6"/>
        <v>1.5507219321006234</v>
      </c>
      <c r="R57" s="63">
        <f t="shared" si="7"/>
        <v>2.3355860522814824</v>
      </c>
      <c r="S57" s="63" t="e">
        <f t="shared" si="8"/>
        <v>#N/A</v>
      </c>
      <c r="T57" s="63" t="e">
        <f t="shared" si="9"/>
        <v>#N/A</v>
      </c>
      <c r="U57" s="63" t="e">
        <f t="shared" si="10"/>
        <v>#N/A</v>
      </c>
      <c r="V57" s="63" t="e">
        <f t="shared" si="11"/>
        <v>#N/A</v>
      </c>
      <c r="W57" s="63"/>
    </row>
    <row r="58" spans="11:23" ht="13.5">
      <c r="K58" s="88">
        <v>3</v>
      </c>
      <c r="L58" s="88"/>
      <c r="M58" s="89"/>
      <c r="N58" s="61">
        <f t="shared" si="12"/>
        <v>10.8</v>
      </c>
      <c r="O58" s="62">
        <f t="shared" si="4"/>
        <v>9.343669716700798</v>
      </c>
      <c r="P58" s="63">
        <f t="shared" si="5"/>
        <v>1.0187018286343557</v>
      </c>
      <c r="Q58" s="63">
        <f t="shared" si="6"/>
        <v>1.5506606993468834</v>
      </c>
      <c r="R58" s="63">
        <f t="shared" si="7"/>
        <v>2.3352269680562743</v>
      </c>
      <c r="S58" s="63" t="e">
        <f t="shared" si="8"/>
        <v>#N/A</v>
      </c>
      <c r="T58" s="63" t="e">
        <f t="shared" si="9"/>
        <v>#N/A</v>
      </c>
      <c r="U58" s="63" t="e">
        <f t="shared" si="10"/>
        <v>#N/A</v>
      </c>
      <c r="V58" s="63" t="e">
        <f t="shared" si="11"/>
        <v>#N/A</v>
      </c>
      <c r="W58" s="63"/>
    </row>
    <row r="59" spans="11:23" ht="13.5">
      <c r="K59" s="88">
        <v>4</v>
      </c>
      <c r="L59" s="88"/>
      <c r="M59" s="89"/>
      <c r="N59" s="61">
        <f t="shared" si="12"/>
        <v>14.4</v>
      </c>
      <c r="O59" s="62">
        <f t="shared" si="4"/>
        <v>12.458226288934396</v>
      </c>
      <c r="P59" s="63">
        <f t="shared" si="5"/>
        <v>1.018531192068903</v>
      </c>
      <c r="Q59" s="63">
        <f t="shared" si="6"/>
        <v>1.5505442516405878</v>
      </c>
      <c r="R59" s="63">
        <f t="shared" si="7"/>
        <v>2.334587860286547</v>
      </c>
      <c r="S59" s="63" t="e">
        <f t="shared" si="8"/>
        <v>#N/A</v>
      </c>
      <c r="T59" s="63" t="e">
        <f t="shared" si="9"/>
        <v>#N/A</v>
      </c>
      <c r="U59" s="63" t="e">
        <f t="shared" si="10"/>
        <v>#N/A</v>
      </c>
      <c r="V59" s="63" t="e">
        <f t="shared" si="11"/>
        <v>#N/A</v>
      </c>
      <c r="W59" s="63"/>
    </row>
    <row r="60" spans="11:23" ht="13.5">
      <c r="K60" s="88">
        <v>5</v>
      </c>
      <c r="L60" s="88"/>
      <c r="M60" s="89"/>
      <c r="N60" s="61">
        <f t="shared" si="12"/>
        <v>18</v>
      </c>
      <c r="O60" s="62">
        <f t="shared" si="4"/>
        <v>15.572782861167994</v>
      </c>
      <c r="P60" s="63">
        <f t="shared" si="5"/>
        <v>1.0182929669761807</v>
      </c>
      <c r="Q60" s="63">
        <f t="shared" si="6"/>
        <v>1.5503557046285437</v>
      </c>
      <c r="R60" s="63">
        <f t="shared" si="7"/>
        <v>2.3336038209432335</v>
      </c>
      <c r="S60" s="63" t="e">
        <f t="shared" si="8"/>
        <v>#N/A</v>
      </c>
      <c r="T60" s="63" t="e">
        <f t="shared" si="9"/>
        <v>#N/A</v>
      </c>
      <c r="U60" s="63" t="e">
        <f t="shared" si="10"/>
        <v>#N/A</v>
      </c>
      <c r="V60" s="63" t="e">
        <f t="shared" si="11"/>
        <v>#N/A</v>
      </c>
      <c r="W60" s="63"/>
    </row>
    <row r="61" spans="11:23" ht="13.5">
      <c r="K61" s="88">
        <v>6</v>
      </c>
      <c r="L61" s="88"/>
      <c r="M61" s="89"/>
      <c r="N61" s="61">
        <f t="shared" si="12"/>
        <v>21.6</v>
      </c>
      <c r="O61" s="62">
        <f t="shared" si="4"/>
        <v>18.687339433401597</v>
      </c>
      <c r="P61" s="63">
        <f t="shared" si="5"/>
        <v>1.017982024087688</v>
      </c>
      <c r="Q61" s="63">
        <f t="shared" si="6"/>
        <v>1.550078516929949</v>
      </c>
      <c r="R61" s="63">
        <f t="shared" si="7"/>
        <v>2.332214854875271</v>
      </c>
      <c r="S61" s="63" t="e">
        <f t="shared" si="8"/>
        <v>#N/A</v>
      </c>
      <c r="T61" s="63" t="e">
        <f t="shared" si="9"/>
        <v>#N/A</v>
      </c>
      <c r="U61" s="63" t="e">
        <f t="shared" si="10"/>
        <v>#N/A</v>
      </c>
      <c r="V61" s="63" t="e">
        <f t="shared" si="11"/>
        <v>#N/A</v>
      </c>
      <c r="W61" s="63"/>
    </row>
    <row r="62" spans="11:23" ht="13.5">
      <c r="K62" s="88">
        <v>7</v>
      </c>
      <c r="L62" s="88"/>
      <c r="M62" s="89"/>
      <c r="N62" s="61">
        <f t="shared" si="12"/>
        <v>25.2</v>
      </c>
      <c r="O62" s="62">
        <f t="shared" si="4"/>
        <v>21.801896005635193</v>
      </c>
      <c r="P62" s="63">
        <f t="shared" si="5"/>
        <v>1.0175939424896137</v>
      </c>
      <c r="Q62" s="63">
        <f t="shared" si="6"/>
        <v>1.5496964389334655</v>
      </c>
      <c r="R62" s="63">
        <f t="shared" si="7"/>
        <v>2.330364922029924</v>
      </c>
      <c r="S62" s="63" t="e">
        <f t="shared" si="8"/>
        <v>#N/A</v>
      </c>
      <c r="T62" s="63" t="e">
        <f t="shared" si="9"/>
        <v>#N/A</v>
      </c>
      <c r="U62" s="63" t="e">
        <f t="shared" si="10"/>
        <v>#N/A</v>
      </c>
      <c r="V62" s="63" t="e">
        <f t="shared" si="11"/>
        <v>#N/A</v>
      </c>
      <c r="W62" s="63"/>
    </row>
    <row r="63" spans="11:23" ht="13.5">
      <c r="K63" s="88">
        <v>8</v>
      </c>
      <c r="L63" s="88"/>
      <c r="M63" s="89"/>
      <c r="N63" s="61">
        <f t="shared" si="12"/>
        <v>28.8</v>
      </c>
      <c r="O63" s="62">
        <f t="shared" si="4"/>
        <v>24.916452577868792</v>
      </c>
      <c r="P63" s="63">
        <f t="shared" si="5"/>
        <v>1.017124834888304</v>
      </c>
      <c r="Q63" s="63">
        <f t="shared" si="6"/>
        <v>1.5491934889194983</v>
      </c>
      <c r="R63" s="63">
        <f t="shared" si="7"/>
        <v>2.3280014308298598</v>
      </c>
      <c r="S63" s="63" t="e">
        <f t="shared" si="8"/>
        <v>#N/A</v>
      </c>
      <c r="T63" s="63" t="e">
        <f t="shared" si="9"/>
        <v>#N/A</v>
      </c>
      <c r="U63" s="63" t="e">
        <f t="shared" si="10"/>
        <v>#N/A</v>
      </c>
      <c r="V63" s="63" t="e">
        <f t="shared" si="11"/>
        <v>#N/A</v>
      </c>
      <c r="W63" s="63"/>
    </row>
    <row r="64" spans="11:23" ht="13.5">
      <c r="K64" s="88">
        <v>9</v>
      </c>
      <c r="L64" s="88"/>
      <c r="M64" s="89"/>
      <c r="N64" s="61">
        <f t="shared" si="12"/>
        <v>32.4</v>
      </c>
      <c r="O64" s="62">
        <f t="shared" si="4"/>
        <v>28.03100915010239</v>
      </c>
      <c r="P64" s="63">
        <f t="shared" si="5"/>
        <v>1.016571239579937</v>
      </c>
      <c r="Q64" s="63">
        <f t="shared" si="6"/>
        <v>1.5485539453760824</v>
      </c>
      <c r="R64" s="63">
        <f t="shared" si="7"/>
        <v>2.325074971596915</v>
      </c>
      <c r="S64" s="63" t="e">
        <f t="shared" si="8"/>
        <v>#N/A</v>
      </c>
      <c r="T64" s="63" t="e">
        <f t="shared" si="9"/>
        <v>#N/A</v>
      </c>
      <c r="U64" s="63" t="e">
        <f t="shared" si="10"/>
        <v>#N/A</v>
      </c>
      <c r="V64" s="63" t="e">
        <f t="shared" si="11"/>
        <v>#N/A</v>
      </c>
      <c r="W64" s="63"/>
    </row>
    <row r="65" spans="11:23" ht="13.5">
      <c r="K65" s="88">
        <v>10</v>
      </c>
      <c r="L65" s="88"/>
      <c r="M65" s="89"/>
      <c r="N65" s="61">
        <f t="shared" si="12"/>
        <v>36</v>
      </c>
      <c r="O65" s="62">
        <f t="shared" si="4"/>
        <v>31.145565722335988</v>
      </c>
      <c r="P65" s="63">
        <f t="shared" si="5"/>
        <v>1.0159300488689058</v>
      </c>
      <c r="Q65" s="63">
        <f t="shared" si="6"/>
        <v>1.5477623501689004</v>
      </c>
      <c r="R65" s="63">
        <f t="shared" si="7"/>
        <v>2.321539192552992</v>
      </c>
      <c r="S65" s="63" t="e">
        <f t="shared" si="8"/>
        <v>#N/A</v>
      </c>
      <c r="T65" s="63" t="e">
        <f t="shared" si="9"/>
        <v>#N/A</v>
      </c>
      <c r="U65" s="63" t="e">
        <f t="shared" si="10"/>
        <v>#N/A</v>
      </c>
      <c r="V65" s="63" t="e">
        <f t="shared" si="11"/>
        <v>#N/A</v>
      </c>
      <c r="W65" s="63"/>
    </row>
    <row r="66" spans="11:23" ht="13.5">
      <c r="K66" s="88">
        <v>11</v>
      </c>
      <c r="L66" s="88"/>
      <c r="M66" s="89"/>
      <c r="N66" s="61">
        <f t="shared" si="12"/>
        <v>39.6</v>
      </c>
      <c r="O66" s="62">
        <f t="shared" si="4"/>
        <v>34.26012229456959</v>
      </c>
      <c r="P66" s="63">
        <f t="shared" si="5"/>
        <v>1.0151984592244792</v>
      </c>
      <c r="Q66" s="63">
        <f t="shared" si="6"/>
        <v>1.5468035196294232</v>
      </c>
      <c r="R66" s="63">
        <f t="shared" si="7"/>
        <v>2.3173507663981523</v>
      </c>
      <c r="S66" s="63" t="e">
        <f t="shared" si="8"/>
        <v>#N/A</v>
      </c>
      <c r="T66" s="63" t="e">
        <f t="shared" si="9"/>
        <v>#N/A</v>
      </c>
      <c r="U66" s="63" t="e">
        <f t="shared" si="10"/>
        <v>#N/A</v>
      </c>
      <c r="V66" s="63" t="e">
        <f t="shared" si="11"/>
        <v>#N/A</v>
      </c>
      <c r="W66" s="63"/>
    </row>
    <row r="67" spans="11:23" ht="13.5">
      <c r="K67" s="88">
        <v>12</v>
      </c>
      <c r="L67" s="88"/>
      <c r="M67" s="89"/>
      <c r="N67" s="61">
        <f t="shared" si="12"/>
        <v>43.2</v>
      </c>
      <c r="O67" s="62">
        <f t="shared" si="4"/>
        <v>37.374678866803194</v>
      </c>
      <c r="P67" s="63">
        <f t="shared" si="5"/>
        <v>1.0143739352508798</v>
      </c>
      <c r="Q67" s="63">
        <f t="shared" si="6"/>
        <v>1.5456625617689275</v>
      </c>
      <c r="R67" s="63">
        <f t="shared" si="7"/>
        <v>2.312469416547443</v>
      </c>
      <c r="S67" s="63" t="e">
        <f t="shared" si="8"/>
        <v>#N/A</v>
      </c>
      <c r="T67" s="63" t="e">
        <f t="shared" si="9"/>
        <v>#N/A</v>
      </c>
      <c r="U67" s="63" t="e">
        <f t="shared" si="10"/>
        <v>#N/A</v>
      </c>
      <c r="V67" s="63" t="e">
        <f t="shared" si="11"/>
        <v>#N/A</v>
      </c>
      <c r="W67" s="63"/>
    </row>
    <row r="68" spans="11:23" ht="13.5">
      <c r="K68" s="88">
        <v>13</v>
      </c>
      <c r="L68" s="88"/>
      <c r="M68" s="89"/>
      <c r="N68" s="61">
        <f t="shared" si="12"/>
        <v>46.8</v>
      </c>
      <c r="O68" s="62">
        <f t="shared" si="4"/>
        <v>40.48923543903678</v>
      </c>
      <c r="P68" s="63">
        <f t="shared" si="5"/>
        <v>1.0134541828648724</v>
      </c>
      <c r="Q68" s="63">
        <f t="shared" si="6"/>
        <v>1.5443248984225653</v>
      </c>
      <c r="R68" s="63">
        <f t="shared" si="7"/>
        <v>2.3068579829405578</v>
      </c>
      <c r="S68" s="63" t="e">
        <f t="shared" si="8"/>
        <v>#N/A</v>
      </c>
      <c r="T68" s="63" t="e">
        <f t="shared" si="9"/>
        <v>#N/A</v>
      </c>
      <c r="U68" s="63" t="e">
        <f t="shared" si="10"/>
        <v>#N/A</v>
      </c>
      <c r="V68" s="63" t="e">
        <f t="shared" si="11"/>
        <v>#N/A</v>
      </c>
      <c r="W68" s="63"/>
    </row>
    <row r="69" spans="11:23" ht="13.5">
      <c r="K69" s="88">
        <v>14</v>
      </c>
      <c r="L69" s="88"/>
      <c r="M69" s="89"/>
      <c r="N69" s="61">
        <f t="shared" si="12"/>
        <v>50.4</v>
      </c>
      <c r="O69" s="62">
        <f t="shared" si="4"/>
        <v>43.603792011270386</v>
      </c>
      <c r="P69" s="63">
        <f t="shared" si="5"/>
        <v>1.0124371288418215</v>
      </c>
      <c r="Q69" s="63">
        <f t="shared" si="6"/>
        <v>1.5427762914586671</v>
      </c>
      <c r="R69" s="63">
        <f t="shared" si="7"/>
        <v>2.3004825133544333</v>
      </c>
      <c r="S69" s="63" t="e">
        <f t="shared" si="8"/>
        <v>#N/A</v>
      </c>
      <c r="T69" s="63" t="e">
        <f t="shared" si="9"/>
        <v>#N/A</v>
      </c>
      <c r="U69" s="63" t="e">
        <f t="shared" si="10"/>
        <v>#N/A</v>
      </c>
      <c r="V69" s="63" t="e">
        <f t="shared" si="11"/>
        <v>#N/A</v>
      </c>
      <c r="W69" s="63"/>
    </row>
    <row r="70" spans="11:23" ht="13.5">
      <c r="K70" s="88">
        <v>15</v>
      </c>
      <c r="L70" s="88"/>
      <c r="M70" s="89"/>
      <c r="N70" s="61">
        <f t="shared" si="12"/>
        <v>54</v>
      </c>
      <c r="O70" s="62">
        <f t="shared" si="4"/>
        <v>46.71834858350398</v>
      </c>
      <c r="P70" s="63">
        <f t="shared" si="5"/>
        <v>1.0113209048959546</v>
      </c>
      <c r="Q70" s="63">
        <f t="shared" si="6"/>
        <v>1.541002872379534</v>
      </c>
      <c r="R70" s="63">
        <f t="shared" si="7"/>
        <v>2.2933123697106366</v>
      </c>
      <c r="S70" s="63" t="e">
        <f t="shared" si="8"/>
        <v>#N/A</v>
      </c>
      <c r="T70" s="63" t="e">
        <f t="shared" si="9"/>
        <v>#N/A</v>
      </c>
      <c r="U70" s="63" t="e">
        <f t="shared" si="10"/>
        <v>#N/A</v>
      </c>
      <c r="V70" s="63" t="e">
        <f t="shared" si="11"/>
        <v>#N/A</v>
      </c>
      <c r="W70" s="63"/>
    </row>
    <row r="71" spans="11:23" ht="13.5">
      <c r="K71" s="88">
        <v>16</v>
      </c>
      <c r="L71" s="88"/>
      <c r="M71" s="89"/>
      <c r="N71" s="61">
        <f t="shared" si="12"/>
        <v>57.6</v>
      </c>
      <c r="O71" s="62">
        <f t="shared" si="4"/>
        <v>49.832905155737585</v>
      </c>
      <c r="P71" s="63">
        <f t="shared" si="5"/>
        <v>1.0101038350630789</v>
      </c>
      <c r="Q71" s="63">
        <f t="shared" si="6"/>
        <v>1.538991174752524</v>
      </c>
      <c r="R71" s="63">
        <f t="shared" si="7"/>
        <v>2.2853203411054026</v>
      </c>
      <c r="S71" s="63" t="e">
        <f t="shared" si="8"/>
        <v>#N/A</v>
      </c>
      <c r="T71" s="63" t="e">
        <f t="shared" si="9"/>
        <v>#N/A</v>
      </c>
      <c r="U71" s="63" t="e">
        <f t="shared" si="10"/>
        <v>#N/A</v>
      </c>
      <c r="V71" s="63" t="e">
        <f t="shared" si="11"/>
        <v>#N/A</v>
      </c>
      <c r="W71" s="63"/>
    </row>
    <row r="72" spans="11:23" ht="13.5">
      <c r="K72" s="88">
        <v>17</v>
      </c>
      <c r="L72" s="88"/>
      <c r="M72" s="89"/>
      <c r="N72" s="61">
        <f t="shared" si="12"/>
        <v>61.2</v>
      </c>
      <c r="O72" s="62">
        <f t="shared" si="4"/>
        <v>52.94746172797119</v>
      </c>
      <c r="P72" s="63">
        <f t="shared" si="5"/>
        <v>1.008784425531438</v>
      </c>
      <c r="Q72" s="63">
        <f t="shared" si="6"/>
        <v>1.5367281689764896</v>
      </c>
      <c r="R72" s="63">
        <f t="shared" si="7"/>
        <v>2.276482756781173</v>
      </c>
      <c r="S72" s="63" t="e">
        <f t="shared" si="8"/>
        <v>#N/A</v>
      </c>
      <c r="T72" s="63" t="e">
        <f t="shared" si="9"/>
        <v>#N/A</v>
      </c>
      <c r="U72" s="63" t="e">
        <f t="shared" si="10"/>
        <v>#N/A</v>
      </c>
      <c r="V72" s="63" t="e">
        <f t="shared" si="11"/>
        <v>#N/A</v>
      </c>
      <c r="W72" s="63"/>
    </row>
    <row r="73" spans="11:23" ht="13.5">
      <c r="K73" s="88">
        <v>18</v>
      </c>
      <c r="L73" s="88"/>
      <c r="M73" s="89"/>
      <c r="N73" s="61">
        <f t="shared" si="12"/>
        <v>64.8</v>
      </c>
      <c r="O73" s="62">
        <f t="shared" si="4"/>
        <v>56.06201830020478</v>
      </c>
      <c r="P73" s="63">
        <f t="shared" si="5"/>
        <v>1.007361356311752</v>
      </c>
      <c r="Q73" s="63">
        <f t="shared" si="6"/>
        <v>1.5342012989266554</v>
      </c>
      <c r="R73" s="63">
        <f t="shared" si="7"/>
        <v>2.266779593321692</v>
      </c>
      <c r="S73" s="63" t="e">
        <f t="shared" si="8"/>
        <v>#N/A</v>
      </c>
      <c r="T73" s="63" t="e">
        <f t="shared" si="9"/>
        <v>#N/A</v>
      </c>
      <c r="U73" s="63" t="e">
        <f t="shared" si="10"/>
        <v>#N/A</v>
      </c>
      <c r="V73" s="63" t="e">
        <f t="shared" si="11"/>
        <v>#N/A</v>
      </c>
      <c r="W73" s="63"/>
    </row>
    <row r="74" spans="11:23" ht="13.5">
      <c r="K74" s="88">
        <v>19</v>
      </c>
      <c r="L74" s="88"/>
      <c r="M74" s="89"/>
      <c r="N74" s="61">
        <f t="shared" si="12"/>
        <v>68.4</v>
      </c>
      <c r="O74" s="62">
        <f t="shared" si="4"/>
        <v>59.17657487243839</v>
      </c>
      <c r="P74" s="63">
        <f t="shared" si="5"/>
        <v>1.0058334743020312</v>
      </c>
      <c r="Q74" s="63">
        <f t="shared" si="6"/>
        <v>1.5313985200415647</v>
      </c>
      <c r="R74" s="63">
        <f t="shared" si="7"/>
        <v>2.256194571169897</v>
      </c>
      <c r="S74" s="63" t="e">
        <f t="shared" si="8"/>
        <v>#N/A</v>
      </c>
      <c r="T74" s="63" t="e">
        <f t="shared" si="9"/>
        <v>#N/A</v>
      </c>
      <c r="U74" s="63" t="e">
        <f t="shared" si="10"/>
        <v>#N/A</v>
      </c>
      <c r="V74" s="63" t="e">
        <f t="shared" si="11"/>
        <v>#N/A</v>
      </c>
      <c r="W74" s="63"/>
    </row>
    <row r="75" spans="11:23" ht="13.5">
      <c r="K75" s="88">
        <v>20</v>
      </c>
      <c r="L75" s="88"/>
      <c r="M75" s="89"/>
      <c r="N75" s="61">
        <f t="shared" si="12"/>
        <v>72</v>
      </c>
      <c r="O75" s="62">
        <f t="shared" si="4"/>
        <v>62.291131444671976</v>
      </c>
      <c r="P75" s="63">
        <f t="shared" si="5"/>
        <v>1.0041997874162294</v>
      </c>
      <c r="Q75" s="63">
        <f t="shared" si="6"/>
        <v>1.5283083384254028</v>
      </c>
      <c r="R75" s="63">
        <f t="shared" si="7"/>
        <v>2.2447152362465594</v>
      </c>
      <c r="S75" s="63" t="e">
        <f t="shared" si="8"/>
        <v>#N/A</v>
      </c>
      <c r="T75" s="63" t="e">
        <f t="shared" si="9"/>
        <v>#N/A</v>
      </c>
      <c r="U75" s="63" t="e">
        <f t="shared" si="10"/>
        <v>#N/A</v>
      </c>
      <c r="V75" s="63" t="e">
        <f t="shared" si="11"/>
        <v>#N/A</v>
      </c>
      <c r="W75" s="63"/>
    </row>
    <row r="76" spans="11:23" ht="13.5">
      <c r="K76" s="88">
        <v>21</v>
      </c>
      <c r="L76" s="88"/>
      <c r="M76" s="89"/>
      <c r="N76" s="61">
        <f t="shared" si="12"/>
        <v>75.6</v>
      </c>
      <c r="O76" s="62">
        <f t="shared" si="4"/>
        <v>65.40568801690557</v>
      </c>
      <c r="P76" s="63">
        <f t="shared" si="5"/>
        <v>1.002459459525948</v>
      </c>
      <c r="Q76" s="63">
        <f t="shared" si="6"/>
        <v>1.5249198505422488</v>
      </c>
      <c r="R76" s="63">
        <f t="shared" si="7"/>
        <v>2.232333023052962</v>
      </c>
      <c r="S76" s="63" t="e">
        <f t="shared" si="8"/>
        <v>#N/A</v>
      </c>
      <c r="T76" s="63" t="e">
        <f t="shared" si="9"/>
        <v>#N/A</v>
      </c>
      <c r="U76" s="63" t="e">
        <f t="shared" si="10"/>
        <v>#N/A</v>
      </c>
      <c r="V76" s="63" t="e">
        <f t="shared" si="11"/>
        <v>#N/A</v>
      </c>
      <c r="W76" s="63"/>
    </row>
    <row r="77" spans="11:23" ht="13.5">
      <c r="K77" s="88">
        <v>22</v>
      </c>
      <c r="L77" s="88"/>
      <c r="M77" s="89"/>
      <c r="N77" s="61">
        <f t="shared" si="12"/>
        <v>79.2</v>
      </c>
      <c r="O77" s="62">
        <f t="shared" si="4"/>
        <v>68.52024458913918</v>
      </c>
      <c r="P77" s="63">
        <f t="shared" si="5"/>
        <v>1.00061180602223</v>
      </c>
      <c r="Q77" s="63">
        <f t="shared" si="6"/>
        <v>1.5212227830785876</v>
      </c>
      <c r="R77" s="63">
        <f t="shared" si="7"/>
        <v>2.219043296211901</v>
      </c>
      <c r="S77" s="63" t="e">
        <f t="shared" si="8"/>
        <v>#N/A</v>
      </c>
      <c r="T77" s="63" t="e">
        <f t="shared" si="9"/>
        <v>#N/A</v>
      </c>
      <c r="U77" s="63" t="e">
        <f t="shared" si="10"/>
        <v>#N/A</v>
      </c>
      <c r="V77" s="63" t="e">
        <f t="shared" si="11"/>
        <v>#N/A</v>
      </c>
      <c r="W77" s="63"/>
    </row>
    <row r="78" spans="11:23" ht="13.5">
      <c r="K78" s="88">
        <v>23</v>
      </c>
      <c r="L78" s="88"/>
      <c r="M78" s="89"/>
      <c r="N78" s="61">
        <f t="shared" si="12"/>
        <v>82.8</v>
      </c>
      <c r="O78" s="62">
        <f t="shared" si="4"/>
        <v>71.63480116137276</v>
      </c>
      <c r="P78" s="63">
        <f t="shared" si="5"/>
        <v>0.9986562898470839</v>
      </c>
      <c r="Q78" s="63">
        <f t="shared" si="6"/>
        <v>1.5172075325488878</v>
      </c>
      <c r="R78" s="63">
        <f t="shared" si="7"/>
        <v>2.204845367960542</v>
      </c>
      <c r="S78" s="63" t="e">
        <f t="shared" si="8"/>
        <v>#N/A</v>
      </c>
      <c r="T78" s="63" t="e">
        <f t="shared" si="9"/>
        <v>#N/A</v>
      </c>
      <c r="U78" s="63" t="e">
        <f t="shared" si="10"/>
        <v>#N/A</v>
      </c>
      <c r="V78" s="63" t="e">
        <f t="shared" si="11"/>
        <v>#N/A</v>
      </c>
      <c r="W78" s="63"/>
    </row>
    <row r="79" spans="11:23" ht="13.5">
      <c r="K79" s="88">
        <v>24</v>
      </c>
      <c r="L79" s="88"/>
      <c r="M79" s="89"/>
      <c r="N79" s="61">
        <f t="shared" si="12"/>
        <v>86.4</v>
      </c>
      <c r="O79" s="62">
        <f t="shared" si="4"/>
        <v>74.74935773360639</v>
      </c>
      <c r="P79" s="63">
        <f t="shared" si="5"/>
        <v>0.996592517876264</v>
      </c>
      <c r="Q79" s="63">
        <f t="shared" si="6"/>
        <v>1.5128652042178212</v>
      </c>
      <c r="R79" s="63">
        <f t="shared" si="7"/>
        <v>2.189742489667751</v>
      </c>
      <c r="S79" s="63" t="e">
        <f t="shared" si="8"/>
        <v>#N/A</v>
      </c>
      <c r="T79" s="63" t="e">
        <f t="shared" si="9"/>
        <v>#N/A</v>
      </c>
      <c r="U79" s="63" t="e">
        <f t="shared" si="10"/>
        <v>#N/A</v>
      </c>
      <c r="V79" s="63" t="e">
        <f t="shared" si="11"/>
        <v>#N/A</v>
      </c>
      <c r="W79" s="63"/>
    </row>
    <row r="80" spans="11:23" ht="13.5">
      <c r="K80" s="88">
        <v>25</v>
      </c>
      <c r="L80" s="88"/>
      <c r="M80" s="89"/>
      <c r="N80" s="61">
        <f t="shared" si="12"/>
        <v>90</v>
      </c>
      <c r="O80" s="62">
        <f t="shared" si="4"/>
        <v>77.86391430583997</v>
      </c>
      <c r="P80" s="63">
        <f t="shared" si="5"/>
        <v>0.9944202375591527</v>
      </c>
      <c r="Q80" s="63">
        <f t="shared" si="6"/>
        <v>1.508187649913018</v>
      </c>
      <c r="R80" s="63">
        <f t="shared" si="7"/>
        <v>2.1737418160114057</v>
      </c>
      <c r="S80" s="63" t="e">
        <f t="shared" si="8"/>
        <v>#N/A</v>
      </c>
      <c r="T80" s="63" t="e">
        <f t="shared" si="9"/>
        <v>#N/A</v>
      </c>
      <c r="U80" s="63" t="e">
        <f t="shared" si="10"/>
        <v>#N/A</v>
      </c>
      <c r="V80" s="63" t="e">
        <f t="shared" si="11"/>
        <v>#N/A</v>
      </c>
      <c r="W80" s="63"/>
    </row>
    <row r="81" spans="11:23" ht="13.5">
      <c r="K81" s="88">
        <v>26</v>
      </c>
      <c r="L81" s="88"/>
      <c r="M81" s="89"/>
      <c r="N81" s="61">
        <f t="shared" si="12"/>
        <v>93.6</v>
      </c>
      <c r="O81" s="62">
        <f t="shared" si="4"/>
        <v>80.97847087807357</v>
      </c>
      <c r="P81" s="63">
        <f t="shared" si="5"/>
        <v>0.9921393337403827</v>
      </c>
      <c r="Q81" s="63">
        <f t="shared" si="6"/>
        <v>1.50316750430501</v>
      </c>
      <c r="R81" s="63">
        <f t="shared" si="7"/>
        <v>2.1568543410165955</v>
      </c>
      <c r="S81" s="63" t="e">
        <f t="shared" si="8"/>
        <v>#N/A</v>
      </c>
      <c r="T81" s="63" t="e">
        <f t="shared" si="9"/>
        <v>#N/A</v>
      </c>
      <c r="U81" s="63" t="e">
        <f t="shared" si="10"/>
        <v>#N/A</v>
      </c>
      <c r="V81" s="63" t="e">
        <f t="shared" si="11"/>
        <v>#N/A</v>
      </c>
      <c r="W81" s="63"/>
    </row>
    <row r="82" spans="11:23" ht="13.5">
      <c r="K82" s="88">
        <v>27</v>
      </c>
      <c r="L82" s="88"/>
      <c r="M82" s="89"/>
      <c r="N82" s="61">
        <f t="shared" si="12"/>
        <v>97.2</v>
      </c>
      <c r="O82" s="62">
        <f t="shared" si="4"/>
        <v>84.09302745030718</v>
      </c>
      <c r="P82" s="63">
        <f t="shared" si="5"/>
        <v>0.9897498256026174</v>
      </c>
      <c r="Q82" s="63">
        <f t="shared" si="6"/>
        <v>1.4977982192370465</v>
      </c>
      <c r="R82" s="63">
        <f t="shared" si="7"/>
        <v>2.13909480571836</v>
      </c>
      <c r="S82" s="63" t="e">
        <f t="shared" si="8"/>
        <v>#N/A</v>
      </c>
      <c r="T82" s="63" t="e">
        <f t="shared" si="9"/>
        <v>#N/A</v>
      </c>
      <c r="U82" s="63" t="e">
        <f t="shared" si="10"/>
        <v>#N/A</v>
      </c>
      <c r="V82" s="63" t="e">
        <f t="shared" si="11"/>
        <v>#N/A</v>
      </c>
      <c r="W82" s="63"/>
    </row>
    <row r="83" spans="11:23" ht="13.5">
      <c r="K83" s="88">
        <v>28</v>
      </c>
      <c r="L83" s="88"/>
      <c r="M83" s="89"/>
      <c r="N83" s="61">
        <f t="shared" si="12"/>
        <v>100.8</v>
      </c>
      <c r="O83" s="62">
        <f t="shared" si="4"/>
        <v>87.20758402254077</v>
      </c>
      <c r="P83" s="63">
        <f t="shared" si="5"/>
        <v>0.9872518636816324</v>
      </c>
      <c r="Q83" s="63">
        <f t="shared" si="6"/>
        <v>1.4920740956972671</v>
      </c>
      <c r="R83" s="63">
        <f t="shared" si="7"/>
        <v>2.120481577765097</v>
      </c>
      <c r="S83" s="63" t="e">
        <f t="shared" si="8"/>
        <v>#N/A</v>
      </c>
      <c r="T83" s="63" t="e">
        <f t="shared" si="9"/>
        <v>#N/A</v>
      </c>
      <c r="U83" s="63" t="e">
        <f t="shared" si="10"/>
        <v>#N/A</v>
      </c>
      <c r="V83" s="63" t="e">
        <f t="shared" si="11"/>
        <v>#N/A</v>
      </c>
      <c r="W83" s="63"/>
    </row>
    <row r="84" spans="11:23" ht="13.5">
      <c r="K84" s="88">
        <v>29</v>
      </c>
      <c r="L84" s="88"/>
      <c r="M84" s="89"/>
      <c r="N84" s="61">
        <f t="shared" si="12"/>
        <v>104.4</v>
      </c>
      <c r="O84" s="62">
        <f t="shared" si="4"/>
        <v>90.32214059477437</v>
      </c>
      <c r="P84" s="63">
        <f t="shared" si="5"/>
        <v>0.9846457269143258</v>
      </c>
      <c r="Q84" s="63">
        <f t="shared" si="6"/>
        <v>1.4859903130397574</v>
      </c>
      <c r="R84" s="63">
        <f t="shared" si="7"/>
        <v>2.1010365038117427</v>
      </c>
      <c r="S84" s="63" t="e">
        <f t="shared" si="8"/>
        <v>#N/A</v>
      </c>
      <c r="T84" s="63" t="e">
        <f t="shared" si="9"/>
        <v>#N/A</v>
      </c>
      <c r="U84" s="63" t="e">
        <f t="shared" si="10"/>
        <v>#N/A</v>
      </c>
      <c r="V84" s="63" t="e">
        <f t="shared" si="11"/>
        <v>#N/A</v>
      </c>
      <c r="W84" s="63"/>
    </row>
    <row r="85" spans="8:23" ht="14.25">
      <c r="H85" s="355"/>
      <c r="I85" s="355"/>
      <c r="J85" s="355"/>
      <c r="K85" s="88">
        <v>30</v>
      </c>
      <c r="L85" s="88"/>
      <c r="M85" s="90"/>
      <c r="N85" s="61">
        <f t="shared" si="12"/>
        <v>108</v>
      </c>
      <c r="O85" s="62">
        <f t="shared" si="4"/>
        <v>93.43669716700796</v>
      </c>
      <c r="P85" s="63">
        <f t="shared" si="5"/>
        <v>0.9819318196880001</v>
      </c>
      <c r="Q85" s="63">
        <f t="shared" si="6"/>
        <v>1.4795429550795456</v>
      </c>
      <c r="R85" s="63">
        <f t="shared" si="7"/>
        <v>2.080784736055351</v>
      </c>
      <c r="S85" s="63" t="e">
        <f t="shared" si="8"/>
        <v>#N/A</v>
      </c>
      <c r="T85" s="63" t="e">
        <f t="shared" si="9"/>
        <v>#N/A</v>
      </c>
      <c r="U85" s="63" t="e">
        <f t="shared" si="10"/>
        <v>#N/A</v>
      </c>
      <c r="V85" s="63" t="e">
        <f t="shared" si="11"/>
        <v>#N/A</v>
      </c>
      <c r="W85" s="63"/>
    </row>
    <row r="86" spans="8:23" ht="15">
      <c r="H86" s="64"/>
      <c r="I86" s="64"/>
      <c r="J86" s="31"/>
      <c r="K86" s="88">
        <v>31</v>
      </c>
      <c r="L86" s="88"/>
      <c r="M86" s="89"/>
      <c r="N86" s="61">
        <f t="shared" si="12"/>
        <v>111.6</v>
      </c>
      <c r="O86" s="62">
        <f t="shared" si="4"/>
        <v>96.55125373924157</v>
      </c>
      <c r="P86" s="63">
        <f t="shared" si="5"/>
        <v>0.9791106688656296</v>
      </c>
      <c r="Q86" s="63">
        <f t="shared" si="6"/>
        <v>1.4727290327098146</v>
      </c>
      <c r="R86" s="63">
        <f t="shared" si="7"/>
        <v>2.059754534729663</v>
      </c>
      <c r="S86" s="63" t="e">
        <f t="shared" si="8"/>
        <v>#N/A</v>
      </c>
      <c r="T86" s="63" t="e">
        <f t="shared" si="9"/>
        <v>#N/A</v>
      </c>
      <c r="U86" s="63" t="e">
        <f t="shared" si="10"/>
        <v>#N/A</v>
      </c>
      <c r="V86" s="63" t="e">
        <f t="shared" si="11"/>
        <v>#N/A</v>
      </c>
      <c r="W86" s="63"/>
    </row>
    <row r="87" spans="11:23" ht="13.5">
      <c r="K87" s="88">
        <v>32</v>
      </c>
      <c r="L87" s="88"/>
      <c r="M87" s="89"/>
      <c r="N87" s="61">
        <f t="shared" si="12"/>
        <v>115.2</v>
      </c>
      <c r="O87" s="62">
        <f aca="true" t="shared" si="13" ref="O87:O105">0.4*PI()*$E$10*$N87/$R$3</f>
        <v>99.66581031147517</v>
      </c>
      <c r="P87" s="63">
        <f aca="true" t="shared" si="14" ref="P87:P105">0.4*PI()*$E$10^2*$R$4*0.01*(1/($B$22+$C$22*O87^($D$22-1)))/$R$3</f>
        <v>0.9761829207671419</v>
      </c>
      <c r="Q87" s="63">
        <f aca="true" t="shared" si="15" ref="Q87:Q105">0.4*PI()*$E$10^2*$R$4*0.01*(1/($B$23+$C$23*O87^($D$23-1)))/$R$3</f>
        <v>1.4655465027174435</v>
      </c>
      <c r="R87" s="63">
        <f aca="true" t="shared" si="16" ref="R87:R105">0.4*PI()*$E$10^2*$R$4*0.01*(1/($B$24+$C$24*O87^($D$24-1)))/$R$3</f>
        <v>2.0379770487903817</v>
      </c>
      <c r="S87" s="63" t="e">
        <f aca="true" t="shared" si="17" ref="S87:S105">0.4*PI()*$E$10^2*$R$4*0.01*(1/($B$25+$C$25*O87^($D$25-1)))/$R$3</f>
        <v>#N/A</v>
      </c>
      <c r="T87" s="63" t="e">
        <f aca="true" t="shared" si="18" ref="T87:T105">0.4*PI()*$E$10^2*$R$4*0.01*(1/($B$26+$C$26*O87^($D$26-1)))/$R$3</f>
        <v>#N/A</v>
      </c>
      <c r="U87" s="63" t="e">
        <f aca="true" t="shared" si="19" ref="U87:U105">0.4*PI()*$E$10^2*$R$4*0.01*(1/($B$27+$C$27*O87^($D$27-1)))/$R$3</f>
        <v>#N/A</v>
      </c>
      <c r="V87" s="63" t="e">
        <f aca="true" t="shared" si="20" ref="V87:V105">0.4*PI()*$E$10^2*$R$4*0.01*(1/($B$28+$C$28*O87^($D$28-1)))/$R$3</f>
        <v>#N/A</v>
      </c>
      <c r="W87" s="63"/>
    </row>
    <row r="88" spans="11:23" ht="13.5">
      <c r="K88" s="88">
        <v>33</v>
      </c>
      <c r="L88" s="88"/>
      <c r="M88" s="89"/>
      <c r="N88" s="61">
        <f t="shared" si="12"/>
        <v>118.8</v>
      </c>
      <c r="O88" s="62">
        <f t="shared" si="13"/>
        <v>102.78036688370877</v>
      </c>
      <c r="P88" s="63">
        <f t="shared" si="14"/>
        <v>0.9731493380912095</v>
      </c>
      <c r="Q88" s="63">
        <f t="shared" si="15"/>
        <v>1.4579942825054408</v>
      </c>
      <c r="R88" s="63">
        <f t="shared" si="16"/>
        <v>2.0154860773806034</v>
      </c>
      <c r="S88" s="63" t="e">
        <f t="shared" si="17"/>
        <v>#N/A</v>
      </c>
      <c r="T88" s="63" t="e">
        <f t="shared" si="18"/>
        <v>#N/A</v>
      </c>
      <c r="U88" s="63" t="e">
        <f t="shared" si="19"/>
        <v>#N/A</v>
      </c>
      <c r="V88" s="63" t="e">
        <f t="shared" si="20"/>
        <v>#N/A</v>
      </c>
      <c r="W88" s="63"/>
    </row>
    <row r="89" spans="11:23" ht="13.5">
      <c r="K89" s="88">
        <v>34</v>
      </c>
      <c r="L89" s="88"/>
      <c r="M89" s="89"/>
      <c r="N89" s="61">
        <f t="shared" si="12"/>
        <v>122.4</v>
      </c>
      <c r="O89" s="62">
        <f t="shared" si="13"/>
        <v>105.89492345594238</v>
      </c>
      <c r="P89" s="63">
        <f t="shared" si="14"/>
        <v>0.9700107967658425</v>
      </c>
      <c r="Q89" s="63">
        <f t="shared" si="15"/>
        <v>1.4500722604675935</v>
      </c>
      <c r="R89" s="63">
        <f t="shared" si="16"/>
        <v>1.9923178149595888</v>
      </c>
      <c r="S89" s="63" t="e">
        <f t="shared" si="17"/>
        <v>#N/A</v>
      </c>
      <c r="T89" s="63" t="e">
        <f t="shared" si="18"/>
        <v>#N/A</v>
      </c>
      <c r="U89" s="63" t="e">
        <f t="shared" si="19"/>
        <v>#N/A</v>
      </c>
      <c r="V89" s="63" t="e">
        <f t="shared" si="20"/>
        <v>#N/A</v>
      </c>
      <c r="W89" s="63"/>
    </row>
    <row r="90" spans="11:23" ht="13.5">
      <c r="K90" s="88">
        <v>35</v>
      </c>
      <c r="L90" s="88"/>
      <c r="M90" s="89"/>
      <c r="N90" s="61">
        <f t="shared" si="12"/>
        <v>126</v>
      </c>
      <c r="O90" s="62">
        <f t="shared" si="13"/>
        <v>109.00948002817596</v>
      </c>
      <c r="P90" s="63">
        <f t="shared" si="14"/>
        <v>0.9667682827193196</v>
      </c>
      <c r="Q90" s="63">
        <f t="shared" si="15"/>
        <v>1.4417813018013976</v>
      </c>
      <c r="R90" s="63">
        <f t="shared" si="16"/>
        <v>1.9685105832025447</v>
      </c>
      <c r="S90" s="63" t="e">
        <f t="shared" si="17"/>
        <v>#N/A</v>
      </c>
      <c r="T90" s="63" t="e">
        <f t="shared" si="18"/>
        <v>#N/A</v>
      </c>
      <c r="U90" s="63" t="e">
        <f t="shared" si="19"/>
        <v>#N/A</v>
      </c>
      <c r="V90" s="63" t="e">
        <f t="shared" si="20"/>
        <v>#N/A</v>
      </c>
      <c r="W90" s="63"/>
    </row>
    <row r="91" spans="11:23" ht="13.5">
      <c r="K91" s="88">
        <v>36</v>
      </c>
      <c r="L91" s="88"/>
      <c r="M91" s="89"/>
      <c r="N91" s="61">
        <f t="shared" si="12"/>
        <v>129.6</v>
      </c>
      <c r="O91" s="62">
        <f t="shared" si="13"/>
        <v>112.12403660040955</v>
      </c>
      <c r="P91" s="63">
        <f t="shared" si="14"/>
        <v>0.96342288856578</v>
      </c>
      <c r="Q91" s="63">
        <f t="shared" si="15"/>
        <v>1.433123249589636</v>
      </c>
      <c r="R91" s="63">
        <f t="shared" si="16"/>
        <v>1.9441045529315646</v>
      </c>
      <c r="S91" s="63" t="e">
        <f t="shared" si="17"/>
        <v>#N/A</v>
      </c>
      <c r="T91" s="63" t="e">
        <f t="shared" si="18"/>
        <v>#N/A</v>
      </c>
      <c r="U91" s="63" t="e">
        <f t="shared" si="19"/>
        <v>#N/A</v>
      </c>
      <c r="V91" s="63" t="e">
        <f t="shared" si="20"/>
        <v>#N/A</v>
      </c>
      <c r="W91" s="63"/>
    </row>
    <row r="92" spans="11:23" ht="13.5">
      <c r="K92" s="88">
        <v>37</v>
      </c>
      <c r="L92" s="88"/>
      <c r="M92" s="89"/>
      <c r="N92" s="61">
        <f t="shared" si="12"/>
        <v>133.2</v>
      </c>
      <c r="O92" s="62">
        <f t="shared" si="13"/>
        <v>115.23859317264315</v>
      </c>
      <c r="P92" s="63">
        <f t="shared" si="14"/>
        <v>0.959975810202217</v>
      </c>
      <c r="Q92" s="63">
        <f t="shared" si="15"/>
        <v>1.4241009210282103</v>
      </c>
      <c r="R92" s="63">
        <f t="shared" si="16"/>
        <v>1.9191414594173248</v>
      </c>
      <c r="S92" s="63" t="e">
        <f t="shared" si="17"/>
        <v>#N/A</v>
      </c>
      <c r="T92" s="63" t="e">
        <f t="shared" si="18"/>
        <v>#N/A</v>
      </c>
      <c r="U92" s="63" t="e">
        <f t="shared" si="19"/>
        <v>#N/A</v>
      </c>
      <c r="V92" s="63" t="e">
        <f t="shared" si="20"/>
        <v>#N/A</v>
      </c>
      <c r="W92" s="63"/>
    </row>
    <row r="93" spans="11:23" ht="13.5">
      <c r="K93" s="88">
        <v>38</v>
      </c>
      <c r="L93" s="88"/>
      <c r="M93" s="89"/>
      <c r="N93" s="61">
        <f t="shared" si="12"/>
        <v>136.8</v>
      </c>
      <c r="O93" s="62">
        <f t="shared" si="13"/>
        <v>118.35314974487677</v>
      </c>
      <c r="P93" s="63">
        <f t="shared" si="14"/>
        <v>0.9564283433157093</v>
      </c>
      <c r="Q93" s="63">
        <f t="shared" si="15"/>
        <v>1.4147180987274537</v>
      </c>
      <c r="R93" s="63">
        <f t="shared" si="16"/>
        <v>1.8936643143988585</v>
      </c>
      <c r="S93" s="63" t="e">
        <f t="shared" si="17"/>
        <v>#N/A</v>
      </c>
      <c r="T93" s="63" t="e">
        <f t="shared" si="18"/>
        <v>#N/A</v>
      </c>
      <c r="U93" s="63" t="e">
        <f t="shared" si="19"/>
        <v>#N/A</v>
      </c>
      <c r="V93" s="63" t="e">
        <f t="shared" si="20"/>
        <v>#N/A</v>
      </c>
      <c r="W93" s="63"/>
    </row>
    <row r="94" spans="11:23" ht="13.5">
      <c r="K94" s="88">
        <v>39</v>
      </c>
      <c r="L94" s="88"/>
      <c r="M94" s="89"/>
      <c r="N94" s="61">
        <f t="shared" si="12"/>
        <v>140.4</v>
      </c>
      <c r="O94" s="62">
        <f t="shared" si="13"/>
        <v>121.46770631711036</v>
      </c>
      <c r="P94" s="63">
        <f t="shared" si="14"/>
        <v>0.9527818798015375</v>
      </c>
      <c r="Q94" s="63">
        <f t="shared" si="15"/>
        <v>1.4049795170653618</v>
      </c>
      <c r="R94" s="63">
        <f t="shared" si="16"/>
        <v>1.8677171181080598</v>
      </c>
      <c r="S94" s="63" t="e">
        <f t="shared" si="17"/>
        <v>#N/A</v>
      </c>
      <c r="T94" s="63" t="e">
        <f t="shared" si="18"/>
        <v>#N/A</v>
      </c>
      <c r="U94" s="63" t="e">
        <f t="shared" si="19"/>
        <v>#N/A</v>
      </c>
      <c r="V94" s="63" t="e">
        <f t="shared" si="20"/>
        <v>#N/A</v>
      </c>
      <c r="W94" s="63"/>
    </row>
    <row r="95" spans="11:23" ht="13.5">
      <c r="K95" s="88">
        <v>40</v>
      </c>
      <c r="L95" s="88"/>
      <c r="M95" s="89"/>
      <c r="N95" s="61">
        <f t="shared" si="12"/>
        <v>144</v>
      </c>
      <c r="O95" s="62">
        <f t="shared" si="13"/>
        <v>124.58226288934395</v>
      </c>
      <c r="P95" s="63">
        <f t="shared" si="14"/>
        <v>0.9490379040944327</v>
      </c>
      <c r="Q95" s="63">
        <f t="shared" si="15"/>
        <v>1.3948908436232603</v>
      </c>
      <c r="R95" s="63">
        <f t="shared" si="16"/>
        <v>1.8413445744613652</v>
      </c>
      <c r="S95" s="63" t="e">
        <f t="shared" si="17"/>
        <v>#N/A</v>
      </c>
      <c r="T95" s="63" t="e">
        <f t="shared" si="18"/>
        <v>#N/A</v>
      </c>
      <c r="U95" s="63" t="e">
        <f t="shared" si="19"/>
        <v>#N/A</v>
      </c>
      <c r="V95" s="63" t="e">
        <f t="shared" si="20"/>
        <v>#N/A</v>
      </c>
      <c r="W95" s="63"/>
    </row>
    <row r="96" spans="11:23" ht="13.5">
      <c r="K96" s="88">
        <v>41</v>
      </c>
      <c r="L96" s="88"/>
      <c r="M96" s="89"/>
      <c r="N96" s="61">
        <f t="shared" si="12"/>
        <v>147.6</v>
      </c>
      <c r="O96" s="62">
        <f t="shared" si="13"/>
        <v>127.69681946157756</v>
      </c>
      <c r="P96" s="63">
        <f t="shared" si="14"/>
        <v>0.9451979894165634</v>
      </c>
      <c r="Q96" s="63">
        <f t="shared" si="15"/>
        <v>1.3844586557865537</v>
      </c>
      <c r="R96" s="63">
        <f t="shared" si="16"/>
        <v>1.8145918124001692</v>
      </c>
      <c r="S96" s="63" t="e">
        <f t="shared" si="17"/>
        <v>#N/A</v>
      </c>
      <c r="T96" s="63" t="e">
        <f t="shared" si="18"/>
        <v>#N/A</v>
      </c>
      <c r="U96" s="63" t="e">
        <f t="shared" si="19"/>
        <v>#N/A</v>
      </c>
      <c r="V96" s="63" t="e">
        <f t="shared" si="20"/>
        <v>#N/A</v>
      </c>
      <c r="W96" s="63"/>
    </row>
    <row r="97" spans="11:23" ht="13.5">
      <c r="K97" s="88">
        <v>42</v>
      </c>
      <c r="L97" s="88"/>
      <c r="M97" s="89"/>
      <c r="N97" s="61">
        <f t="shared" si="12"/>
        <v>151.2</v>
      </c>
      <c r="O97" s="62">
        <f t="shared" si="13"/>
        <v>130.81137603381114</v>
      </c>
      <c r="P97" s="63">
        <f t="shared" si="14"/>
        <v>0.9412637939470735</v>
      </c>
      <c r="Q97" s="63">
        <f t="shared" si="15"/>
        <v>1.3736904126445613</v>
      </c>
      <c r="R97" s="63">
        <f t="shared" si="16"/>
        <v>1.7875041161315308</v>
      </c>
      <c r="S97" s="63" t="e">
        <f t="shared" si="17"/>
        <v>#N/A</v>
      </c>
      <c r="T97" s="63" t="e">
        <f t="shared" si="18"/>
        <v>#N/A</v>
      </c>
      <c r="U97" s="63" t="e">
        <f t="shared" si="19"/>
        <v>#N/A</v>
      </c>
      <c r="V97" s="63" t="e">
        <f t="shared" si="20"/>
        <v>#N/A</v>
      </c>
      <c r="W97" s="63"/>
    </row>
    <row r="98" spans="11:23" ht="13.5">
      <c r="K98" s="88">
        <v>43</v>
      </c>
      <c r="L98" s="88"/>
      <c r="M98" s="89"/>
      <c r="N98" s="61">
        <f t="shared" si="12"/>
        <v>154.8</v>
      </c>
      <c r="O98" s="62">
        <f t="shared" si="13"/>
        <v>133.92593260604477</v>
      </c>
      <c r="P98" s="63">
        <f t="shared" si="14"/>
        <v>0.9372370569190018</v>
      </c>
      <c r="Q98" s="63">
        <f t="shared" si="15"/>
        <v>1.3625944223731934</v>
      </c>
      <c r="R98" s="63">
        <f t="shared" si="16"/>
        <v>1.7601266667504942</v>
      </c>
      <c r="S98" s="63" t="e">
        <f t="shared" si="17"/>
        <v>#N/A</v>
      </c>
      <c r="T98" s="63" t="e">
        <f t="shared" si="18"/>
        <v>#N/A</v>
      </c>
      <c r="U98" s="63" t="e">
        <f t="shared" si="19"/>
        <v>#N/A</v>
      </c>
      <c r="V98" s="63" t="e">
        <f t="shared" si="20"/>
        <v>#N/A</v>
      </c>
      <c r="W98" s="63"/>
    </row>
    <row r="99" spans="11:23" ht="13.5">
      <c r="K99" s="88">
        <v>44</v>
      </c>
      <c r="L99" s="88"/>
      <c r="M99" s="89"/>
      <c r="N99" s="61">
        <f t="shared" si="12"/>
        <v>158.4</v>
      </c>
      <c r="O99" s="62">
        <f t="shared" si="13"/>
        <v>137.04048917827836</v>
      </c>
      <c r="P99" s="63">
        <f t="shared" si="14"/>
        <v>0.9331195946503007</v>
      </c>
      <c r="Q99" s="63">
        <f t="shared" si="15"/>
        <v>1.3511798053315862</v>
      </c>
      <c r="R99" s="63">
        <f t="shared" si="16"/>
        <v>1.7325042974240044</v>
      </c>
      <c r="S99" s="63" t="e">
        <f t="shared" si="17"/>
        <v>#N/A</v>
      </c>
      <c r="T99" s="63" t="e">
        <f t="shared" si="18"/>
        <v>#N/A</v>
      </c>
      <c r="U99" s="63" t="e">
        <f t="shared" si="19"/>
        <v>#N/A</v>
      </c>
      <c r="V99" s="63" t="e">
        <f t="shared" si="20"/>
        <v>#N/A</v>
      </c>
      <c r="W99" s="63"/>
    </row>
    <row r="100" spans="11:23" ht="13.5">
      <c r="K100" s="88">
        <v>45</v>
      </c>
      <c r="L100" s="88"/>
      <c r="M100" s="89"/>
      <c r="N100" s="61">
        <f t="shared" si="12"/>
        <v>162</v>
      </c>
      <c r="O100" s="62">
        <f t="shared" si="13"/>
        <v>140.15504575051196</v>
      </c>
      <c r="P100" s="63">
        <f t="shared" si="14"/>
        <v>0.9289132965163986</v>
      </c>
      <c r="Q100" s="63">
        <f t="shared" si="15"/>
        <v>1.3394564531480304</v>
      </c>
      <c r="R100" s="63">
        <f t="shared" si="16"/>
        <v>1.7046812639933344</v>
      </c>
      <c r="S100" s="63" t="e">
        <f t="shared" si="17"/>
        <v>#N/A</v>
      </c>
      <c r="T100" s="63" t="e">
        <f t="shared" si="18"/>
        <v>#N/A</v>
      </c>
      <c r="U100" s="63" t="e">
        <f t="shared" si="19"/>
        <v>#N/A</v>
      </c>
      <c r="V100" s="63" t="e">
        <f t="shared" si="20"/>
        <v>#N/A</v>
      </c>
      <c r="W100" s="63"/>
    </row>
    <row r="101" spans="11:23" ht="13.5">
      <c r="K101" s="88">
        <v>46</v>
      </c>
      <c r="L101" s="88"/>
      <c r="M101" s="89"/>
      <c r="N101" s="61">
        <f t="shared" si="12"/>
        <v>165.6</v>
      </c>
      <c r="O101" s="62">
        <f t="shared" si="13"/>
        <v>143.26960232274553</v>
      </c>
      <c r="P101" s="63">
        <f t="shared" si="14"/>
        <v>0.9246201208723903</v>
      </c>
      <c r="Q101" s="63">
        <f t="shared" si="15"/>
        <v>1.327434984110887</v>
      </c>
      <c r="R101" s="63">
        <f t="shared" si="16"/>
        <v>1.676701032516484</v>
      </c>
      <c r="S101" s="63" t="e">
        <f t="shared" si="17"/>
        <v>#N/A</v>
      </c>
      <c r="T101" s="63" t="e">
        <f t="shared" si="18"/>
        <v>#N/A</v>
      </c>
      <c r="U101" s="63" t="e">
        <f t="shared" si="19"/>
        <v>#N/A</v>
      </c>
      <c r="V101" s="63" t="e">
        <f t="shared" si="20"/>
        <v>#N/A</v>
      </c>
      <c r="W101" s="63"/>
    </row>
    <row r="102" spans="11:23" ht="13.5">
      <c r="K102" s="88">
        <v>47</v>
      </c>
      <c r="L102" s="88"/>
      <c r="M102" s="89"/>
      <c r="N102" s="61">
        <f t="shared" si="12"/>
        <v>169.2</v>
      </c>
      <c r="O102" s="62">
        <f t="shared" si="13"/>
        <v>146.38415889497915</v>
      </c>
      <c r="P102" s="63">
        <f t="shared" si="14"/>
        <v>0.9202420909334154</v>
      </c>
      <c r="Q102" s="63">
        <f t="shared" si="15"/>
        <v>1.3151266952160747</v>
      </c>
      <c r="R102" s="63">
        <f t="shared" si="16"/>
        <v>1.6486060849326976</v>
      </c>
      <c r="S102" s="63" t="e">
        <f t="shared" si="17"/>
        <v>#N/A</v>
      </c>
      <c r="T102" s="63" t="e">
        <f t="shared" si="18"/>
        <v>#N/A</v>
      </c>
      <c r="U102" s="63" t="e">
        <f t="shared" si="19"/>
        <v>#N/A</v>
      </c>
      <c r="V102" s="63" t="e">
        <f t="shared" si="20"/>
        <v>#N/A</v>
      </c>
      <c r="W102" s="63"/>
    </row>
    <row r="103" spans="11:23" ht="13.5">
      <c r="K103" s="88">
        <v>48</v>
      </c>
      <c r="L103" s="88"/>
      <c r="M103" s="89"/>
      <c r="N103" s="61">
        <f t="shared" si="12"/>
        <v>172.8</v>
      </c>
      <c r="O103" s="62">
        <f t="shared" si="13"/>
        <v>149.49871546721278</v>
      </c>
      <c r="P103" s="63">
        <f t="shared" si="14"/>
        <v>0.9157812906222053</v>
      </c>
      <c r="Q103" s="63">
        <f t="shared" si="15"/>
        <v>1.3025435112536488</v>
      </c>
      <c r="R103" s="63">
        <f t="shared" si="16"/>
        <v>1.6204377436965407</v>
      </c>
      <c r="S103" s="63" t="e">
        <f t="shared" si="17"/>
        <v>#N/A</v>
      </c>
      <c r="T103" s="63" t="e">
        <f t="shared" si="18"/>
        <v>#N/A</v>
      </c>
      <c r="U103" s="63" t="e">
        <f t="shared" si="19"/>
        <v>#N/A</v>
      </c>
      <c r="V103" s="63" t="e">
        <f t="shared" si="20"/>
        <v>#N/A</v>
      </c>
      <c r="W103" s="63"/>
    </row>
    <row r="104" spans="11:23" ht="13.5">
      <c r="K104" s="88">
        <v>49</v>
      </c>
      <c r="L104" s="88"/>
      <c r="M104" s="89"/>
      <c r="N104" s="61">
        <f t="shared" si="12"/>
        <v>176.4</v>
      </c>
      <c r="O104" s="62">
        <f t="shared" si="13"/>
        <v>152.61327203944634</v>
      </c>
      <c r="P104" s="63">
        <f t="shared" si="14"/>
        <v>0.911239860393053</v>
      </c>
      <c r="Q104" s="63">
        <f t="shared" si="15"/>
        <v>1.2896979313414323</v>
      </c>
      <c r="R104" s="63">
        <f t="shared" si="16"/>
        <v>1.592236015905595</v>
      </c>
      <c r="S104" s="63" t="e">
        <f t="shared" si="17"/>
        <v>#N/A</v>
      </c>
      <c r="T104" s="63" t="e">
        <f t="shared" si="18"/>
        <v>#N/A</v>
      </c>
      <c r="U104" s="63" t="e">
        <f t="shared" si="19"/>
        <v>#N/A</v>
      </c>
      <c r="V104" s="63" t="e">
        <f t="shared" si="20"/>
        <v>#N/A</v>
      </c>
      <c r="W104" s="63"/>
    </row>
    <row r="105" spans="11:23" ht="13.5">
      <c r="K105" s="88">
        <v>50</v>
      </c>
      <c r="L105" s="88"/>
      <c r="M105" s="89"/>
      <c r="N105" s="61">
        <f t="shared" si="12"/>
        <v>180</v>
      </c>
      <c r="O105" s="65">
        <f t="shared" si="13"/>
        <v>155.72782861167994</v>
      </c>
      <c r="P105" s="63">
        <f t="shared" si="14"/>
        <v>0.9066199930416836</v>
      </c>
      <c r="Q105" s="63">
        <f t="shared" si="15"/>
        <v>1.2766029733334745</v>
      </c>
      <c r="R105" s="63">
        <f t="shared" si="16"/>
        <v>1.5640394571403597</v>
      </c>
      <c r="S105" s="63" t="e">
        <f t="shared" si="17"/>
        <v>#N/A</v>
      </c>
      <c r="T105" s="63" t="e">
        <f t="shared" si="18"/>
        <v>#N/A</v>
      </c>
      <c r="U105" s="63" t="e">
        <f t="shared" si="19"/>
        <v>#N/A</v>
      </c>
      <c r="V105" s="63" t="e">
        <f t="shared" si="20"/>
        <v>#N/A</v>
      </c>
      <c r="W105" s="63"/>
    </row>
    <row r="106" spans="11:23" ht="13.5">
      <c r="K106" s="88"/>
      <c r="L106" s="88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11:23" ht="13.5">
      <c r="K107" s="88"/>
      <c r="L107" s="88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11:23" ht="13.5">
      <c r="K108" s="107"/>
      <c r="L108" s="107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</row>
    <row r="109" spans="11:23" ht="13.5">
      <c r="K109" s="107"/>
      <c r="L109" s="107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</row>
    <row r="110" spans="11:23" ht="13.5">
      <c r="K110" s="107"/>
      <c r="L110" s="107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</row>
    <row r="111" spans="11:23" ht="13.5">
      <c r="K111" s="107"/>
      <c r="L111" s="107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</row>
    <row r="112" spans="11:23" ht="13.5">
      <c r="K112" s="107"/>
      <c r="L112" s="107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</row>
    <row r="113" spans="11:23" ht="13.5">
      <c r="K113" s="107"/>
      <c r="L113" s="107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</row>
    <row r="114" spans="11:23" ht="13.5"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</row>
    <row r="115" spans="11:23" ht="13.5"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</row>
    <row r="116" spans="11:23" ht="13.5"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</row>
    <row r="117" spans="11:23" ht="13.5"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</row>
    <row r="118" spans="11:23" ht="13.5"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</row>
    <row r="119" spans="11:23" ht="13.5"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</row>
    <row r="120" spans="11:23" ht="13.5"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</row>
    <row r="121" spans="11:23" ht="13.5"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</row>
    <row r="122" spans="11:23" ht="13.5"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</row>
    <row r="123" spans="11:23" ht="13.5"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</row>
    <row r="124" spans="11:23" ht="13.5"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</row>
    <row r="125" spans="11:23" ht="13.5"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</row>
    <row r="126" spans="11:23" ht="13.5"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</row>
    <row r="127" spans="11:23" ht="13.5"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</row>
    <row r="128" spans="11:23" ht="13.5"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</row>
    <row r="129" spans="11:23" ht="13.5"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</row>
    <row r="130" spans="11:23" ht="13.5"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</row>
    <row r="131" spans="11:23" ht="13.5"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</row>
    <row r="132" spans="11:23" ht="13.5"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</row>
    <row r="133" spans="11:23" ht="13.5"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</row>
  </sheetData>
  <sheetProtection/>
  <mergeCells count="156">
    <mergeCell ref="F35:G35"/>
    <mergeCell ref="A13:D13"/>
    <mergeCell ref="E13:F13"/>
    <mergeCell ref="B30:C30"/>
    <mergeCell ref="B31:C31"/>
    <mergeCell ref="D30:E30"/>
    <mergeCell ref="D31:E31"/>
    <mergeCell ref="F30:G30"/>
    <mergeCell ref="G16:H16"/>
    <mergeCell ref="A17:D17"/>
    <mergeCell ref="K10:L10"/>
    <mergeCell ref="K11:L11"/>
    <mergeCell ref="K12:L12"/>
    <mergeCell ref="K13:L13"/>
    <mergeCell ref="N30:O30"/>
    <mergeCell ref="L24:M24"/>
    <mergeCell ref="M30:M31"/>
    <mergeCell ref="L30:L31"/>
    <mergeCell ref="L26:M26"/>
    <mergeCell ref="L22:M22"/>
    <mergeCell ref="R3:S3"/>
    <mergeCell ref="R4:S4"/>
    <mergeCell ref="R5:S5"/>
    <mergeCell ref="R6:S6"/>
    <mergeCell ref="P10:Q10"/>
    <mergeCell ref="R10:S10"/>
    <mergeCell ref="P3:Q3"/>
    <mergeCell ref="P4:Q4"/>
    <mergeCell ref="P5:Q5"/>
    <mergeCell ref="P6:Q6"/>
    <mergeCell ref="M6:O6"/>
    <mergeCell ref="B32:C32"/>
    <mergeCell ref="B33:C33"/>
    <mergeCell ref="E16:F16"/>
    <mergeCell ref="E15:F15"/>
    <mergeCell ref="L21:M21"/>
    <mergeCell ref="L27:M27"/>
    <mergeCell ref="J24:K24"/>
    <mergeCell ref="K15:L15"/>
    <mergeCell ref="G10:I10"/>
    <mergeCell ref="G11:I11"/>
    <mergeCell ref="F33:G33"/>
    <mergeCell ref="E10:F10"/>
    <mergeCell ref="G13:I13"/>
    <mergeCell ref="A45:C45"/>
    <mergeCell ref="A42:C42"/>
    <mergeCell ref="B34:C34"/>
    <mergeCell ref="B35:C35"/>
    <mergeCell ref="B36:C36"/>
    <mergeCell ref="A43:C43"/>
    <mergeCell ref="A44:C44"/>
    <mergeCell ref="B37:C37"/>
    <mergeCell ref="A40:C40"/>
    <mergeCell ref="A30:A31"/>
    <mergeCell ref="D3:E3"/>
    <mergeCell ref="A10:D10"/>
    <mergeCell ref="A4:C4"/>
    <mergeCell ref="A3:C3"/>
    <mergeCell ref="A5:C5"/>
    <mergeCell ref="D4:E4"/>
    <mergeCell ref="G41:H41"/>
    <mergeCell ref="A41:C41"/>
    <mergeCell ref="A38:C38"/>
    <mergeCell ref="A12:D12"/>
    <mergeCell ref="A39:C39"/>
    <mergeCell ref="D38:E38"/>
    <mergeCell ref="D36:E36"/>
    <mergeCell ref="D37:E37"/>
    <mergeCell ref="F31:G31"/>
    <mergeCell ref="F34:G34"/>
    <mergeCell ref="K14:L14"/>
    <mergeCell ref="H26:I26"/>
    <mergeCell ref="H27:I27"/>
    <mergeCell ref="E14:F14"/>
    <mergeCell ref="H3:I4"/>
    <mergeCell ref="G15:I15"/>
    <mergeCell ref="J5:K5"/>
    <mergeCell ref="G6:I6"/>
    <mergeCell ref="J6:K6"/>
    <mergeCell ref="G12:I12"/>
    <mergeCell ref="M5:O5"/>
    <mergeCell ref="O35:P35"/>
    <mergeCell ref="K42:L42"/>
    <mergeCell ref="F36:G36"/>
    <mergeCell ref="D50:F50"/>
    <mergeCell ref="D44:E44"/>
    <mergeCell ref="D40:F40"/>
    <mergeCell ref="D35:E35"/>
    <mergeCell ref="K30:K31"/>
    <mergeCell ref="H28:I28"/>
    <mergeCell ref="K50:L50"/>
    <mergeCell ref="M35:N35"/>
    <mergeCell ref="N36:O36"/>
    <mergeCell ref="J30:J31"/>
    <mergeCell ref="O38:P38"/>
    <mergeCell ref="P37:Q37"/>
    <mergeCell ref="P36:Q36"/>
    <mergeCell ref="Q38:R38"/>
    <mergeCell ref="H85:J85"/>
    <mergeCell ref="D49:F49"/>
    <mergeCell ref="D42:F42"/>
    <mergeCell ref="N37:O37"/>
    <mergeCell ref="G50:H50"/>
    <mergeCell ref="G40:H40"/>
    <mergeCell ref="F37:G37"/>
    <mergeCell ref="D45:E45"/>
    <mergeCell ref="F38:G38"/>
    <mergeCell ref="D43:E43"/>
    <mergeCell ref="D41:F41"/>
    <mergeCell ref="B51:C51"/>
    <mergeCell ref="B52:C52"/>
    <mergeCell ref="D51:E51"/>
    <mergeCell ref="D52:E52"/>
    <mergeCell ref="A47:C47"/>
    <mergeCell ref="A48:C48"/>
    <mergeCell ref="A49:C49"/>
    <mergeCell ref="A46:C46"/>
    <mergeCell ref="D46:E46"/>
    <mergeCell ref="G49:H49"/>
    <mergeCell ref="D34:E34"/>
    <mergeCell ref="H24:I24"/>
    <mergeCell ref="H25:I25"/>
    <mergeCell ref="G42:H42"/>
    <mergeCell ref="D32:E32"/>
    <mergeCell ref="I30:I31"/>
    <mergeCell ref="D33:E33"/>
    <mergeCell ref="F32:G32"/>
    <mergeCell ref="D39:E39"/>
    <mergeCell ref="R20:T20"/>
    <mergeCell ref="O10:O11"/>
    <mergeCell ref="A14:D14"/>
    <mergeCell ref="A16:D16"/>
    <mergeCell ref="G5:I5"/>
    <mergeCell ref="A15:D15"/>
    <mergeCell ref="G14:I14"/>
    <mergeCell ref="A11:D11"/>
    <mergeCell ref="E12:F12"/>
    <mergeCell ref="E11:F11"/>
    <mergeCell ref="J25:K25"/>
    <mergeCell ref="J22:K22"/>
    <mergeCell ref="J23:K23"/>
    <mergeCell ref="L25:M25"/>
    <mergeCell ref="J28:K28"/>
    <mergeCell ref="R30:S30"/>
    <mergeCell ref="P30:Q30"/>
    <mergeCell ref="J26:K26"/>
    <mergeCell ref="J27:K27"/>
    <mergeCell ref="L28:M28"/>
    <mergeCell ref="E17:F17"/>
    <mergeCell ref="G17:H17"/>
    <mergeCell ref="I17:J17"/>
    <mergeCell ref="L23:M23"/>
    <mergeCell ref="H22:I22"/>
    <mergeCell ref="H23:I23"/>
    <mergeCell ref="J21:K21"/>
    <mergeCell ref="H21:I21"/>
  </mergeCells>
  <conditionalFormatting sqref="B30:C31 B33:C37 O12:S14 K32:S34 D30:H37">
    <cfRule type="cellIs" priority="15" dxfId="6" operator="equal" stopIfTrue="1">
      <formula>0</formula>
    </cfRule>
  </conditionalFormatting>
  <conditionalFormatting sqref="B22:D28 D38:E39 F32:F39 P12:S14 Q15:T17 S18:U18 Q22:Q28 H22:L28 R22:T25 L32:S34 L38:L39 V41:W47 S38:W38 R36:W37 Q35:V35 O38:Q38 N36:P37 M35:O35 G33:G39 K35:K39 H32:J39">
    <cfRule type="expression" priority="16" dxfId="6" stopIfTrue="1">
      <formula>ISERROR(B12)</formula>
    </cfRule>
  </conditionalFormatting>
  <conditionalFormatting sqref="J10">
    <cfRule type="cellIs" priority="4" dxfId="7" operator="greaterThan" stopIfTrue="1">
      <formula>60</formula>
    </cfRule>
  </conditionalFormatting>
  <conditionalFormatting sqref="R12:S14">
    <cfRule type="cellIs" priority="8" dxfId="7" operator="greaterThan" stopIfTrue="1">
      <formula>100</formula>
    </cfRule>
  </conditionalFormatting>
  <conditionalFormatting sqref="G17:H17">
    <cfRule type="cellIs" priority="45" dxfId="7" operator="greaterThan" stopIfTrue="1">
      <formula>($N$4-$M$4)/2*0.85</formula>
    </cfRule>
  </conditionalFormatting>
  <conditionalFormatting sqref="D36:H36">
    <cfRule type="cellIs" priority="69" dxfId="8" operator="greaterThan" stopIfTrue="1">
      <formula>$J$15</formula>
    </cfRule>
  </conditionalFormatting>
  <dataValidations count="3">
    <dataValidation type="list" allowBlank="1" showInputMessage="1" showErrorMessage="1" sqref="A4:C4">
      <formula1>재질</formula1>
    </dataValidation>
    <dataValidation type="list" allowBlank="1" showInputMessage="1" showErrorMessage="1" sqref="D4">
      <formula1>사이즈</formula1>
    </dataValidation>
    <dataValidation type="list" allowBlank="1" showInputMessage="1" showErrorMessage="1" sqref="E13:F13">
      <formula1>wire</formula1>
    </dataValidation>
  </dataValidations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41" r:id="rId2"/>
  <rowBreaks count="1" manualBreakCount="1">
    <brk id="49" max="255" man="1"/>
  </rowBreaks>
  <colBreaks count="1" manualBreakCount="1">
    <brk id="23" max="65535" man="1"/>
  </colBreaks>
  <ignoredErrors>
    <ignoredError sqref="O40:R40 P41:R42 O43:R47 T41:T47 T40 V106:V127 V58:V63 U128:V128 U107:U127 K38:L38 I40:L40 I38:J38 V64:V105 U106 U69:U105 S106:T106 S69:T105 J39:L39 S64:S68 T64:T68 U64:U68 U55:U63 T54:V54 T55:T63 V55:V57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:I18"/>
    </sheetView>
  </sheetViews>
  <sheetFormatPr defaultColWidth="8.88671875" defaultRowHeight="13.5"/>
  <cols>
    <col min="1" max="1" width="10.4453125" style="0" bestFit="1" customWidth="1"/>
    <col min="2" max="7" width="6.5546875" style="0" customWidth="1"/>
    <col min="8" max="8" width="10.88671875" style="0" customWidth="1"/>
    <col min="9" max="9" width="9.99609375" style="0" bestFit="1" customWidth="1"/>
    <col min="10" max="10" width="10.77734375" style="0" customWidth="1"/>
    <col min="11" max="11" width="9.4453125" style="0" customWidth="1"/>
    <col min="12" max="12" width="11.10546875" style="0" customWidth="1"/>
    <col min="13" max="13" width="16.88671875" style="0" bestFit="1" customWidth="1"/>
  </cols>
  <sheetData>
    <row r="2" spans="1:13" ht="18">
      <c r="A2" s="15"/>
      <c r="B2" s="1"/>
      <c r="C2" s="1"/>
      <c r="D2" s="1"/>
      <c r="E2" s="1"/>
      <c r="F2" s="1"/>
      <c r="G2" s="1"/>
      <c r="H2" s="2"/>
      <c r="I2" s="1"/>
      <c r="J2" s="3"/>
      <c r="K2" s="1"/>
      <c r="L2" s="1"/>
      <c r="M2" s="1"/>
    </row>
    <row r="3" spans="1:13" ht="13.5" customHeight="1">
      <c r="A3" s="461" t="s">
        <v>72</v>
      </c>
      <c r="B3" s="470" t="s">
        <v>66</v>
      </c>
      <c r="C3" s="470" t="s">
        <v>67</v>
      </c>
      <c r="D3" s="470" t="s">
        <v>68</v>
      </c>
      <c r="E3" s="470" t="s">
        <v>69</v>
      </c>
      <c r="F3" s="470" t="s">
        <v>70</v>
      </c>
      <c r="G3" s="470" t="s">
        <v>71</v>
      </c>
      <c r="H3" s="466" t="s">
        <v>0</v>
      </c>
      <c r="I3" s="460" t="s">
        <v>17</v>
      </c>
      <c r="J3" s="462" t="s">
        <v>18</v>
      </c>
      <c r="K3" s="460" t="s">
        <v>1</v>
      </c>
      <c r="L3" s="464" t="s">
        <v>20</v>
      </c>
      <c r="M3" s="468" t="s">
        <v>19</v>
      </c>
    </row>
    <row r="4" spans="1:13" ht="13.5" customHeight="1">
      <c r="A4" s="461"/>
      <c r="B4" s="471"/>
      <c r="C4" s="471"/>
      <c r="D4" s="471"/>
      <c r="E4" s="471"/>
      <c r="F4" s="471"/>
      <c r="G4" s="471"/>
      <c r="H4" s="467"/>
      <c r="I4" s="461"/>
      <c r="J4" s="463"/>
      <c r="K4" s="460"/>
      <c r="L4" s="465"/>
      <c r="M4" s="469"/>
    </row>
    <row r="5" spans="1:13" ht="14.25">
      <c r="A5" s="9" t="s">
        <v>84</v>
      </c>
      <c r="B5" s="9">
        <v>18.8</v>
      </c>
      <c r="C5" s="9">
        <v>11</v>
      </c>
      <c r="D5" s="9">
        <v>6</v>
      </c>
      <c r="E5" s="9">
        <v>7.4</v>
      </c>
      <c r="F5" s="9">
        <v>15.6</v>
      </c>
      <c r="G5" s="9">
        <v>4</v>
      </c>
      <c r="H5" s="10">
        <v>3.54</v>
      </c>
      <c r="I5" s="11">
        <v>0.425</v>
      </c>
      <c r="J5" s="12">
        <f>(F5-E5)/2*G5*2*0.01</f>
        <v>0.32799999999999996</v>
      </c>
      <c r="K5" s="9">
        <f>H5*I5</f>
        <v>1.5045</v>
      </c>
      <c r="L5" s="13">
        <f>2*PI()*E5/2*0.1</f>
        <v>2.324778563656447</v>
      </c>
      <c r="M5" s="14">
        <v>14.63</v>
      </c>
    </row>
    <row r="6" spans="1:13" ht="14.25">
      <c r="A6" s="9" t="s">
        <v>85</v>
      </c>
      <c r="B6" s="9">
        <v>23.4</v>
      </c>
      <c r="C6" s="9">
        <v>14</v>
      </c>
      <c r="D6" s="9">
        <v>8.7</v>
      </c>
      <c r="E6" s="9">
        <v>9.2</v>
      </c>
      <c r="F6" s="9">
        <v>19.4</v>
      </c>
      <c r="G6" s="9">
        <v>6.2</v>
      </c>
      <c r="H6" s="10">
        <v>4.91</v>
      </c>
      <c r="I6" s="11">
        <v>0.67</v>
      </c>
      <c r="J6" s="12">
        <f aca="true" t="shared" si="0" ref="J6:J16">(F6-E6)/2*G6*2*0.01</f>
        <v>0.6324</v>
      </c>
      <c r="K6" s="9">
        <f aca="true" t="shared" si="1" ref="K6:K16">H6*I6</f>
        <v>3.2897000000000003</v>
      </c>
      <c r="L6" s="13">
        <f aca="true" t="shared" si="2" ref="L6:L16">2*PI()*E6/2*0.1</f>
        <v>2.8902652413026093</v>
      </c>
      <c r="M6" s="14">
        <v>25.46</v>
      </c>
    </row>
    <row r="7" spans="1:13" ht="14.25">
      <c r="A7" s="9" t="s">
        <v>86</v>
      </c>
      <c r="B7" s="9">
        <v>25</v>
      </c>
      <c r="C7" s="9">
        <v>18</v>
      </c>
      <c r="D7" s="9">
        <v>8.4</v>
      </c>
      <c r="E7" s="9">
        <v>11</v>
      </c>
      <c r="F7" s="9">
        <v>21</v>
      </c>
      <c r="G7" s="9">
        <v>5.4</v>
      </c>
      <c r="H7" s="10">
        <v>4.97</v>
      </c>
      <c r="I7" s="11">
        <v>0.96</v>
      </c>
      <c r="J7" s="12">
        <f t="shared" si="0"/>
        <v>0.54</v>
      </c>
      <c r="K7" s="9">
        <f t="shared" si="1"/>
        <v>4.771199999999999</v>
      </c>
      <c r="L7" s="13">
        <f t="shared" si="2"/>
        <v>3.4557519189487724</v>
      </c>
      <c r="M7" s="14">
        <v>31.81</v>
      </c>
    </row>
    <row r="8" spans="1:13" ht="14.25">
      <c r="A8" s="9" t="s">
        <v>87</v>
      </c>
      <c r="B8" s="9">
        <v>25</v>
      </c>
      <c r="C8" s="9">
        <v>18</v>
      </c>
      <c r="D8" s="9">
        <v>10.8</v>
      </c>
      <c r="E8" s="9">
        <v>11</v>
      </c>
      <c r="F8" s="9">
        <v>21</v>
      </c>
      <c r="G8" s="9">
        <v>7.8</v>
      </c>
      <c r="H8" s="10">
        <v>5.93</v>
      </c>
      <c r="I8" s="11">
        <v>0.96</v>
      </c>
      <c r="J8" s="12">
        <f t="shared" si="0"/>
        <v>0.78</v>
      </c>
      <c r="K8" s="9">
        <f t="shared" si="1"/>
        <v>5.692799999999999</v>
      </c>
      <c r="L8" s="13">
        <f t="shared" si="2"/>
        <v>3.4557519189487724</v>
      </c>
      <c r="M8" s="14">
        <v>37.68</v>
      </c>
    </row>
    <row r="9" spans="1:13" ht="14.25">
      <c r="A9" s="9" t="s">
        <v>88</v>
      </c>
      <c r="B9" s="9">
        <v>30</v>
      </c>
      <c r="C9" s="9">
        <v>20</v>
      </c>
      <c r="D9" s="9">
        <v>9.2</v>
      </c>
      <c r="E9" s="9">
        <v>12</v>
      </c>
      <c r="F9" s="9">
        <v>25.6</v>
      </c>
      <c r="G9" s="9">
        <v>5.9</v>
      </c>
      <c r="H9" s="10">
        <v>5.81</v>
      </c>
      <c r="I9" s="11">
        <v>1.14</v>
      </c>
      <c r="J9" s="12">
        <f t="shared" si="0"/>
        <v>0.8024000000000001</v>
      </c>
      <c r="K9" s="9">
        <f t="shared" si="1"/>
        <v>6.623399999999999</v>
      </c>
      <c r="L9" s="13">
        <f t="shared" si="2"/>
        <v>3.7699111843077517</v>
      </c>
      <c r="M9" s="14">
        <v>40.87</v>
      </c>
    </row>
    <row r="10" spans="1:13" ht="14.25">
      <c r="A10" s="9" t="s">
        <v>89</v>
      </c>
      <c r="B10" s="9">
        <v>30</v>
      </c>
      <c r="C10" s="9">
        <v>20</v>
      </c>
      <c r="D10" s="9">
        <v>11.8</v>
      </c>
      <c r="E10" s="9">
        <v>12</v>
      </c>
      <c r="F10" s="9">
        <v>25.6</v>
      </c>
      <c r="G10" s="9">
        <v>8.5</v>
      </c>
      <c r="H10" s="10">
        <v>6.85</v>
      </c>
      <c r="I10" s="11">
        <v>1.14</v>
      </c>
      <c r="J10" s="12">
        <f>(F10-E10)/2*G10*2*0.01</f>
        <v>1.1560000000000001</v>
      </c>
      <c r="K10" s="9">
        <f>H10*I10</f>
        <v>7.808999999999999</v>
      </c>
      <c r="L10" s="13">
        <f>2*PI()*E10/2*0.1</f>
        <v>3.7699111843077517</v>
      </c>
      <c r="M10" s="14">
        <v>47.76</v>
      </c>
    </row>
    <row r="11" spans="1:13" ht="14.25">
      <c r="A11" s="9" t="s">
        <v>77</v>
      </c>
      <c r="B11" s="9">
        <v>32</v>
      </c>
      <c r="C11" s="9">
        <v>22</v>
      </c>
      <c r="D11" s="9">
        <v>10.3</v>
      </c>
      <c r="E11" s="9">
        <v>13.5</v>
      </c>
      <c r="F11" s="9">
        <v>27</v>
      </c>
      <c r="G11" s="9">
        <v>6.6</v>
      </c>
      <c r="H11" s="10">
        <v>6.25</v>
      </c>
      <c r="I11" s="11">
        <v>1.43</v>
      </c>
      <c r="J11" s="12">
        <f>(F11-E11)/2*G11*2*0.01</f>
        <v>0.891</v>
      </c>
      <c r="K11" s="9">
        <f>H11*I11</f>
        <v>8.9375</v>
      </c>
      <c r="L11" s="13">
        <f>2*PI()*E11/2*0.1</f>
        <v>4.241150082346221</v>
      </c>
      <c r="M11" s="14">
        <v>49.16</v>
      </c>
    </row>
    <row r="12" spans="1:13" ht="14.25">
      <c r="A12" s="9" t="s">
        <v>78</v>
      </c>
      <c r="B12" s="9">
        <v>32</v>
      </c>
      <c r="C12" s="9">
        <v>22</v>
      </c>
      <c r="D12" s="9">
        <v>13.4</v>
      </c>
      <c r="E12" s="9">
        <v>13.5</v>
      </c>
      <c r="F12" s="9">
        <v>27</v>
      </c>
      <c r="G12" s="9">
        <v>9.7</v>
      </c>
      <c r="H12" s="10">
        <v>7.49</v>
      </c>
      <c r="I12" s="11">
        <v>1.43</v>
      </c>
      <c r="J12" s="12">
        <f>(F12-E12)/2*G12*2*0.01</f>
        <v>1.3094999999999999</v>
      </c>
      <c r="K12" s="9">
        <f>H12*I12</f>
        <v>10.7107</v>
      </c>
      <c r="L12" s="13">
        <f>2*PI()*E12/2*0.1</f>
        <v>4.241150082346221</v>
      </c>
      <c r="M12" s="14">
        <v>57.53</v>
      </c>
    </row>
    <row r="13" spans="1:13" ht="14.25">
      <c r="A13" s="9" t="s">
        <v>90</v>
      </c>
      <c r="B13" s="9">
        <v>32</v>
      </c>
      <c r="C13" s="9">
        <v>22</v>
      </c>
      <c r="D13" s="9">
        <v>15.2</v>
      </c>
      <c r="E13" s="9">
        <v>13.5</v>
      </c>
      <c r="F13" s="9">
        <v>27</v>
      </c>
      <c r="G13" s="9">
        <v>11.5</v>
      </c>
      <c r="H13" s="10">
        <v>8.21</v>
      </c>
      <c r="I13" s="11">
        <v>1.43</v>
      </c>
      <c r="J13" s="12">
        <f>(F13-E13)/2*G13*2*0.01</f>
        <v>1.5525</v>
      </c>
      <c r="K13" s="9">
        <f>H13*I13</f>
        <v>11.740300000000001</v>
      </c>
      <c r="L13" s="13">
        <f>2*PI()*E13/2*0.1</f>
        <v>4.241150082346221</v>
      </c>
      <c r="M13" s="14">
        <v>63.55</v>
      </c>
    </row>
    <row r="14" spans="1:13" ht="14.25">
      <c r="A14" s="9" t="s">
        <v>91</v>
      </c>
      <c r="B14" s="9">
        <v>36.2</v>
      </c>
      <c r="C14" s="9">
        <v>24</v>
      </c>
      <c r="D14" s="9">
        <v>11.2</v>
      </c>
      <c r="E14" s="9">
        <v>15</v>
      </c>
      <c r="F14" s="9">
        <v>30.4</v>
      </c>
      <c r="G14" s="9">
        <v>7.2</v>
      </c>
      <c r="H14" s="10">
        <v>6.78</v>
      </c>
      <c r="I14" s="11">
        <v>1.77</v>
      </c>
      <c r="J14" s="12">
        <f t="shared" si="0"/>
        <v>1.1088</v>
      </c>
      <c r="K14" s="9">
        <f t="shared" si="1"/>
        <v>12.0006</v>
      </c>
      <c r="L14" s="13">
        <f t="shared" si="2"/>
        <v>4.71238898038469</v>
      </c>
      <c r="M14" s="14">
        <v>59.91</v>
      </c>
    </row>
    <row r="15" spans="1:13" ht="14.25">
      <c r="A15" s="9" t="s">
        <v>92</v>
      </c>
      <c r="B15" s="9">
        <v>36.2</v>
      </c>
      <c r="C15" s="9">
        <v>24</v>
      </c>
      <c r="D15" s="9">
        <v>14.4</v>
      </c>
      <c r="E15" s="9">
        <v>15</v>
      </c>
      <c r="F15" s="9">
        <v>30.4</v>
      </c>
      <c r="G15" s="9">
        <v>10.4</v>
      </c>
      <c r="H15" s="10">
        <v>8.06</v>
      </c>
      <c r="I15" s="11">
        <v>1.77</v>
      </c>
      <c r="J15" s="12">
        <f t="shared" si="0"/>
        <v>1.6016</v>
      </c>
      <c r="K15" s="9">
        <f t="shared" si="1"/>
        <v>14.266200000000001</v>
      </c>
      <c r="L15" s="13">
        <f t="shared" si="2"/>
        <v>4.71238898038469</v>
      </c>
      <c r="M15" s="14">
        <v>70.31</v>
      </c>
    </row>
    <row r="16" spans="1:13" ht="14.25">
      <c r="A16" s="9" t="s">
        <v>93</v>
      </c>
      <c r="B16" s="9">
        <v>42</v>
      </c>
      <c r="C16" s="9">
        <v>25</v>
      </c>
      <c r="D16" s="9">
        <v>12.3</v>
      </c>
      <c r="E16" s="9">
        <v>16.2</v>
      </c>
      <c r="F16" s="9">
        <v>35.2</v>
      </c>
      <c r="G16" s="9">
        <v>7.9</v>
      </c>
      <c r="H16" s="10">
        <v>7.61</v>
      </c>
      <c r="I16" s="11">
        <v>2.06</v>
      </c>
      <c r="J16" s="12">
        <f t="shared" si="0"/>
        <v>1.5010000000000003</v>
      </c>
      <c r="K16" s="9">
        <f t="shared" si="1"/>
        <v>15.6766</v>
      </c>
      <c r="L16" s="13">
        <f t="shared" si="2"/>
        <v>5.0893800988154645</v>
      </c>
      <c r="M16" s="14">
        <v>71.39</v>
      </c>
    </row>
    <row r="17" spans="1:13" ht="14.25">
      <c r="A17" s="9" t="s">
        <v>95</v>
      </c>
      <c r="B17" s="9">
        <v>42</v>
      </c>
      <c r="C17" s="9">
        <v>25</v>
      </c>
      <c r="D17" s="9">
        <v>15.8</v>
      </c>
      <c r="E17" s="9">
        <v>16.2</v>
      </c>
      <c r="F17" s="9">
        <v>35.2</v>
      </c>
      <c r="G17" s="9">
        <v>11.4</v>
      </c>
      <c r="H17" s="10">
        <v>9.01</v>
      </c>
      <c r="I17" s="11">
        <v>2.06</v>
      </c>
      <c r="J17" s="12">
        <f>(F17-E17)/2*G17*2*0.01</f>
        <v>2.1660000000000004</v>
      </c>
      <c r="K17" s="9">
        <f>H17*I17</f>
        <v>18.5606</v>
      </c>
      <c r="L17" s="13">
        <f>2*PI()*E17/2*0.1</f>
        <v>5.0893800988154645</v>
      </c>
      <c r="M17" s="14">
        <v>83.32</v>
      </c>
    </row>
    <row r="18" spans="1:13" ht="14.25">
      <c r="A18" s="9" t="s">
        <v>340</v>
      </c>
      <c r="B18" s="9">
        <v>46.5</v>
      </c>
      <c r="C18" s="9">
        <v>28</v>
      </c>
      <c r="D18" s="9">
        <v>19</v>
      </c>
      <c r="E18" s="9">
        <v>14.9</v>
      </c>
      <c r="F18" s="9">
        <v>39.3</v>
      </c>
      <c r="G18" s="9">
        <v>14.5</v>
      </c>
      <c r="H18" s="10">
        <v>9.81</v>
      </c>
      <c r="I18" s="11">
        <v>2.08</v>
      </c>
      <c r="J18" s="12">
        <f>(F18-E18)/2*G18*2*0.01</f>
        <v>3.538</v>
      </c>
      <c r="K18" s="9">
        <f>H18*I18</f>
        <v>20.4048</v>
      </c>
      <c r="L18" s="13">
        <f>2*PI()*E18/2*0.1</f>
        <v>4.680973053848792</v>
      </c>
      <c r="M18" s="14">
        <v>106.85</v>
      </c>
    </row>
    <row r="19" spans="1:13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sheetProtection/>
  <mergeCells count="13">
    <mergeCell ref="M3:M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A3:A4"/>
    <mergeCell ref="L3:L4"/>
    <mergeCell ref="H3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C1">
      <selection activeCell="I30" sqref="I30"/>
    </sheetView>
  </sheetViews>
  <sheetFormatPr defaultColWidth="8.88671875" defaultRowHeight="13.5"/>
  <cols>
    <col min="1" max="1" width="7.5546875" style="0" customWidth="1"/>
    <col min="2" max="2" width="7.6640625" style="0" customWidth="1"/>
    <col min="3" max="3" width="15.10546875" style="0" customWidth="1"/>
    <col min="4" max="4" width="7.10546875" style="0" customWidth="1"/>
    <col min="7" max="8" width="9.88671875" style="0" bestFit="1" customWidth="1"/>
    <col min="9" max="9" width="6.4453125" style="0" customWidth="1"/>
    <col min="10" max="10" width="3.5546875" style="0" customWidth="1"/>
    <col min="11" max="11" width="2.77734375" style="0" customWidth="1"/>
    <col min="12" max="12" width="1.66796875" style="0" customWidth="1"/>
    <col min="13" max="13" width="13.4453125" style="0" customWidth="1"/>
    <col min="18" max="18" width="8.10546875" style="0" customWidth="1"/>
  </cols>
  <sheetData>
    <row r="1" spans="3:14" ht="32.25" customHeight="1">
      <c r="C1" s="5" t="s">
        <v>3</v>
      </c>
      <c r="D1" s="5"/>
      <c r="N1" s="5" t="s">
        <v>4</v>
      </c>
    </row>
    <row r="2" spans="3:14" ht="32.25" customHeight="1" thickBot="1">
      <c r="C2" s="5"/>
      <c r="D2" s="5"/>
      <c r="N2" s="5"/>
    </row>
    <row r="3" spans="1:18" ht="18.75" customHeight="1" thickBot="1">
      <c r="A3" s="179"/>
      <c r="B3" s="179"/>
      <c r="C3" s="155" t="s">
        <v>2</v>
      </c>
      <c r="D3" s="156" t="s">
        <v>9</v>
      </c>
      <c r="E3" s="157" t="s">
        <v>5</v>
      </c>
      <c r="F3" s="157" t="s">
        <v>6</v>
      </c>
      <c r="G3" s="157" t="s">
        <v>7</v>
      </c>
      <c r="H3" s="158" t="s">
        <v>8</v>
      </c>
      <c r="I3" s="16"/>
      <c r="J3" s="16"/>
      <c r="K3" s="16"/>
      <c r="L3" s="144"/>
      <c r="M3" s="155" t="s">
        <v>2</v>
      </c>
      <c r="N3" s="160" t="s">
        <v>5</v>
      </c>
      <c r="O3" s="160" t="s">
        <v>101</v>
      </c>
      <c r="P3" s="160" t="s">
        <v>102</v>
      </c>
      <c r="Q3" s="161" t="s">
        <v>103</v>
      </c>
      <c r="R3" s="198" t="s">
        <v>104</v>
      </c>
    </row>
    <row r="4" spans="1:18" ht="14.25">
      <c r="A4" s="179" t="str">
        <f aca="true" t="shared" si="0" ref="A4:A9">C4&amp;D4</f>
        <v>RH(HighFlux)1</v>
      </c>
      <c r="B4" s="179" t="str">
        <f aca="true" t="shared" si="1" ref="B4:B9">C4&amp;E4</f>
        <v>RH(HighFlux)026</v>
      </c>
      <c r="C4" s="149" t="s">
        <v>96</v>
      </c>
      <c r="D4" s="150">
        <v>1</v>
      </c>
      <c r="E4" s="224" t="s">
        <v>109</v>
      </c>
      <c r="F4" s="163">
        <v>0.03872</v>
      </c>
      <c r="G4" s="171">
        <v>3.70507E-08</v>
      </c>
      <c r="H4" s="172">
        <v>3.3317</v>
      </c>
      <c r="I4" s="145"/>
      <c r="J4" s="145"/>
      <c r="K4" s="145"/>
      <c r="L4" s="6"/>
      <c r="M4" s="149" t="s">
        <v>96</v>
      </c>
      <c r="N4" s="224" t="s">
        <v>109</v>
      </c>
      <c r="O4" s="199">
        <v>2.252</v>
      </c>
      <c r="P4" s="199">
        <v>4.081</v>
      </c>
      <c r="Q4" s="214">
        <v>0.0006</v>
      </c>
      <c r="R4" s="200">
        <v>2.736</v>
      </c>
    </row>
    <row r="5" spans="1:18" ht="14.25">
      <c r="A5" s="179" t="str">
        <f t="shared" si="0"/>
        <v>RH(HighFlux)2</v>
      </c>
      <c r="B5" s="179" t="str">
        <f t="shared" si="1"/>
        <v>RH(HighFlux)040</v>
      </c>
      <c r="C5" s="151" t="str">
        <f>C4</f>
        <v>RH(HighFlux)</v>
      </c>
      <c r="D5" s="4">
        <v>2</v>
      </c>
      <c r="E5" s="225" t="s">
        <v>110</v>
      </c>
      <c r="F5" s="7">
        <v>0.02544</v>
      </c>
      <c r="G5" s="167">
        <v>2.08231E-09</v>
      </c>
      <c r="H5" s="168">
        <v>3.92784</v>
      </c>
      <c r="I5" s="145"/>
      <c r="J5" s="145"/>
      <c r="K5" s="145"/>
      <c r="L5" s="6"/>
      <c r="M5" s="151" t="str">
        <f>M4</f>
        <v>RH(HighFlux)</v>
      </c>
      <c r="N5" s="225" t="s">
        <v>110</v>
      </c>
      <c r="O5" s="201">
        <v>2.268</v>
      </c>
      <c r="P5" s="201">
        <v>3.566</v>
      </c>
      <c r="Q5" s="215">
        <v>0.0015</v>
      </c>
      <c r="R5" s="202">
        <v>2.567</v>
      </c>
    </row>
    <row r="6" spans="1:18" ht="15" thickBot="1">
      <c r="A6" s="179" t="str">
        <f t="shared" si="0"/>
        <v>RH(HighFlux)3</v>
      </c>
      <c r="B6" s="179" t="str">
        <f t="shared" si="1"/>
        <v>RH(HighFlux)060</v>
      </c>
      <c r="C6" s="152" t="str">
        <f>C5</f>
        <v>RH(HighFlux)</v>
      </c>
      <c r="D6" s="153">
        <v>3</v>
      </c>
      <c r="E6" s="226" t="s">
        <v>111</v>
      </c>
      <c r="F6" s="159">
        <v>0.01689</v>
      </c>
      <c r="G6" s="169">
        <v>8.76395E-09</v>
      </c>
      <c r="H6" s="147">
        <v>3.7268</v>
      </c>
      <c r="I6" s="145"/>
      <c r="J6" s="145"/>
      <c r="K6" s="145"/>
      <c r="L6" s="6"/>
      <c r="M6" s="152" t="str">
        <f>M5</f>
        <v>RH(HighFlux)</v>
      </c>
      <c r="N6" s="226" t="s">
        <v>111</v>
      </c>
      <c r="O6" s="203">
        <v>2.284</v>
      </c>
      <c r="P6" s="203">
        <v>3.05</v>
      </c>
      <c r="Q6" s="216">
        <v>0.0023</v>
      </c>
      <c r="R6" s="204">
        <v>2.397</v>
      </c>
    </row>
    <row r="7" spans="1:18" ht="14.25">
      <c r="A7" s="179" t="str">
        <f t="shared" si="0"/>
        <v>RK(MegaFlux)1</v>
      </c>
      <c r="B7" s="179" t="str">
        <f t="shared" si="1"/>
        <v>RK(MegaFlux)026</v>
      </c>
      <c r="C7" s="154" t="s">
        <v>97</v>
      </c>
      <c r="D7" s="148">
        <v>1</v>
      </c>
      <c r="E7" s="227" t="s">
        <v>109</v>
      </c>
      <c r="F7" s="162">
        <v>0.03861</v>
      </c>
      <c r="G7" s="170">
        <v>8.71756E-08</v>
      </c>
      <c r="H7" s="146">
        <v>2.98839</v>
      </c>
      <c r="I7" s="145"/>
      <c r="J7" s="145"/>
      <c r="K7" s="145"/>
      <c r="L7" s="6"/>
      <c r="M7" s="149" t="s">
        <v>97</v>
      </c>
      <c r="N7" s="227" t="s">
        <v>109</v>
      </c>
      <c r="O7" s="199">
        <v>2.166</v>
      </c>
      <c r="P7" s="199">
        <v>9.918</v>
      </c>
      <c r="Q7" s="214">
        <v>0.0519</v>
      </c>
      <c r="R7" s="200">
        <v>2.061</v>
      </c>
    </row>
    <row r="8" spans="1:18" ht="14.25">
      <c r="A8" s="179" t="str">
        <f t="shared" si="0"/>
        <v>RK(MegaFlux)2</v>
      </c>
      <c r="B8" s="179" t="str">
        <f t="shared" si="1"/>
        <v>RK(MegaFlux)040</v>
      </c>
      <c r="C8" s="151" t="str">
        <f>C7</f>
        <v>RK(MegaFlux)</v>
      </c>
      <c r="D8" s="4">
        <v>2</v>
      </c>
      <c r="E8" s="225" t="s">
        <v>110</v>
      </c>
      <c r="F8" s="7">
        <v>0.02534</v>
      </c>
      <c r="G8" s="167">
        <v>1.52282E-08</v>
      </c>
      <c r="H8" s="168">
        <v>3.5265</v>
      </c>
      <c r="I8" s="145"/>
      <c r="J8" s="145"/>
      <c r="K8" s="145"/>
      <c r="L8" s="6"/>
      <c r="M8" s="151" t="str">
        <f>M7</f>
        <v>RK(MegaFlux)</v>
      </c>
      <c r="N8" s="225" t="s">
        <v>110</v>
      </c>
      <c r="O8" s="201">
        <v>2.156</v>
      </c>
      <c r="P8" s="201">
        <v>9.396</v>
      </c>
      <c r="Q8" s="215">
        <v>0.0576</v>
      </c>
      <c r="R8" s="202">
        <v>2.021</v>
      </c>
    </row>
    <row r="9" spans="1:18" ht="15" thickBot="1">
      <c r="A9" s="179" t="str">
        <f t="shared" si="0"/>
        <v>RK(MegaFlux)3</v>
      </c>
      <c r="B9" s="179" t="str">
        <f t="shared" si="1"/>
        <v>RK(MegaFlux)060</v>
      </c>
      <c r="C9" s="152" t="str">
        <f>C8</f>
        <v>RK(MegaFlux)</v>
      </c>
      <c r="D9" s="153">
        <v>3</v>
      </c>
      <c r="E9" s="226" t="s">
        <v>111</v>
      </c>
      <c r="F9" s="159">
        <v>0.01667</v>
      </c>
      <c r="G9" s="169">
        <v>3.76423E-07</v>
      </c>
      <c r="H9" s="147">
        <v>3.0547</v>
      </c>
      <c r="I9" s="145"/>
      <c r="J9" s="145"/>
      <c r="K9" s="145"/>
      <c r="L9" s="6"/>
      <c r="M9" s="152" t="str">
        <f>M8</f>
        <v>RK(MegaFlux)</v>
      </c>
      <c r="N9" s="226" t="s">
        <v>111</v>
      </c>
      <c r="O9" s="203">
        <v>2.145</v>
      </c>
      <c r="P9" s="203">
        <v>8.874</v>
      </c>
      <c r="Q9" s="216">
        <v>0.0632</v>
      </c>
      <c r="R9" s="204">
        <v>1.98</v>
      </c>
    </row>
    <row r="10" ht="13.5">
      <c r="H10" s="17"/>
    </row>
    <row r="11" ht="13.5">
      <c r="P11" t="s">
        <v>40</v>
      </c>
    </row>
    <row r="13" ht="13.5">
      <c r="G13" s="17"/>
    </row>
    <row r="14" spans="5:8" ht="13.5">
      <c r="E14" s="17"/>
      <c r="F14" s="17"/>
      <c r="G14" s="17"/>
      <c r="H14" s="17"/>
    </row>
    <row r="15" ht="13.5">
      <c r="G15" s="17"/>
    </row>
    <row r="17" spans="5:8" ht="13.5">
      <c r="E17" s="17"/>
      <c r="F17" s="17"/>
      <c r="H17" s="17"/>
    </row>
    <row r="18" ht="13.5">
      <c r="E18" s="17"/>
    </row>
    <row r="20" spans="5:7" ht="13.5">
      <c r="E20" s="17"/>
      <c r="G20" s="17"/>
    </row>
    <row r="21" ht="13.5">
      <c r="G21" s="17"/>
    </row>
    <row r="22" ht="13.5">
      <c r="E22" s="1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E4:E9 N4:N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9"/>
  <sheetViews>
    <sheetView zoomScalePageLayoutView="0" workbookViewId="0" topLeftCell="A1">
      <selection activeCell="B8" sqref="B8"/>
    </sheetView>
  </sheetViews>
  <sheetFormatPr defaultColWidth="6.21484375" defaultRowHeight="18.75" customHeight="1"/>
  <cols>
    <col min="1" max="1" width="14.6640625" style="19" customWidth="1"/>
    <col min="2" max="2" width="7.5546875" style="18" bestFit="1" customWidth="1"/>
    <col min="3" max="3" width="11.10546875" style="18" bestFit="1" customWidth="1"/>
    <col min="4" max="4" width="10.77734375" style="18" customWidth="1"/>
    <col min="5" max="6" width="8.99609375" style="18" bestFit="1" customWidth="1"/>
    <col min="7" max="7" width="6.3359375" style="18" bestFit="1" customWidth="1"/>
    <col min="8" max="8" width="6.3359375" style="18" customWidth="1"/>
    <col min="9" max="10" width="6.21484375" style="18" customWidth="1"/>
    <col min="11" max="11" width="16.77734375" style="18" customWidth="1"/>
    <col min="12" max="12" width="6.21484375" style="18" customWidth="1"/>
    <col min="13" max="13" width="8.3359375" style="18" customWidth="1"/>
    <col min="14" max="14" width="8.88671875" style="18" customWidth="1"/>
    <col min="15" max="15" width="6.6640625" style="18" bestFit="1" customWidth="1"/>
    <col min="16" max="16384" width="6.21484375" style="18" customWidth="1"/>
  </cols>
  <sheetData>
    <row r="1" spans="2:13" ht="18.75" customHeight="1" thickBot="1">
      <c r="B1" s="18" t="s">
        <v>43</v>
      </c>
      <c r="C1" s="18" t="s">
        <v>44</v>
      </c>
      <c r="D1" s="18" t="s">
        <v>41</v>
      </c>
      <c r="E1" s="18" t="s">
        <v>46</v>
      </c>
      <c r="F1" s="18" t="s">
        <v>47</v>
      </c>
      <c r="G1" s="18" t="s">
        <v>45</v>
      </c>
      <c r="H1" s="18" t="s">
        <v>6</v>
      </c>
      <c r="I1" s="18" t="s">
        <v>7</v>
      </c>
      <c r="J1" s="18" t="s">
        <v>8</v>
      </c>
      <c r="K1" s="20" t="s">
        <v>41</v>
      </c>
      <c r="M1" s="245" t="s">
        <v>198</v>
      </c>
    </row>
    <row r="2" spans="1:15" ht="18.75" customHeight="1" thickTop="1">
      <c r="A2" s="21" t="str">
        <f>D2&amp;E2&amp;F2</f>
        <v>RH(HighFlux)1911A026</v>
      </c>
      <c r="B2" s="18" t="s">
        <v>42</v>
      </c>
      <c r="C2" s="18" t="s">
        <v>112</v>
      </c>
      <c r="D2" s="18" t="s">
        <v>96</v>
      </c>
      <c r="E2" s="18" t="str">
        <f>MID(C2,3,5)</f>
        <v>1911A</v>
      </c>
      <c r="F2" s="18" t="str">
        <f>MID(C2,8,3)</f>
        <v>026</v>
      </c>
      <c r="G2" s="18">
        <v>39</v>
      </c>
      <c r="H2" s="165">
        <v>0.03872</v>
      </c>
      <c r="I2" s="166">
        <v>3.70507E-08</v>
      </c>
      <c r="J2" s="165">
        <v>3.3317</v>
      </c>
      <c r="K2" s="7" t="s">
        <v>96</v>
      </c>
      <c r="M2" s="18" t="s">
        <v>199</v>
      </c>
      <c r="N2" s="18">
        <v>1.7</v>
      </c>
      <c r="O2" s="18">
        <v>8.96</v>
      </c>
    </row>
    <row r="3" spans="1:15" ht="18.75" customHeight="1">
      <c r="A3" s="21" t="str">
        <f aca="true" t="shared" si="0" ref="A3:A30">D3&amp;E3&amp;F3</f>
        <v>RH(HighFlux)1911A040</v>
      </c>
      <c r="B3" s="18" t="s">
        <v>42</v>
      </c>
      <c r="C3" s="18" t="s">
        <v>113</v>
      </c>
      <c r="D3" s="18" t="s">
        <v>96</v>
      </c>
      <c r="E3" s="18" t="str">
        <f aca="true" t="shared" si="1" ref="E3:E40">MID(C3,3,5)</f>
        <v>1911A</v>
      </c>
      <c r="F3" s="18" t="str">
        <f aca="true" t="shared" si="2" ref="F3:F69">MID(C3,8,3)</f>
        <v>040</v>
      </c>
      <c r="G3" s="18">
        <v>60</v>
      </c>
      <c r="H3" s="165">
        <v>0.02544</v>
      </c>
      <c r="I3" s="166">
        <v>2.08231E-09</v>
      </c>
      <c r="J3" s="166">
        <v>3.92784</v>
      </c>
      <c r="K3" s="7" t="s">
        <v>97</v>
      </c>
      <c r="M3" s="18" t="s">
        <v>200</v>
      </c>
      <c r="N3" s="18">
        <v>2.82</v>
      </c>
      <c r="O3" s="18">
        <v>2.7</v>
      </c>
    </row>
    <row r="4" spans="1:11" ht="18.75" customHeight="1">
      <c r="A4" s="21" t="str">
        <f t="shared" si="0"/>
        <v>RH(HighFlux)1911A060</v>
      </c>
      <c r="B4" s="18" t="s">
        <v>42</v>
      </c>
      <c r="C4" s="18" t="s">
        <v>114</v>
      </c>
      <c r="D4" s="18" t="s">
        <v>96</v>
      </c>
      <c r="E4" s="18" t="str">
        <f t="shared" si="1"/>
        <v>1911A</v>
      </c>
      <c r="F4" s="18" t="str">
        <f t="shared" si="2"/>
        <v>060</v>
      </c>
      <c r="G4" s="18">
        <v>90</v>
      </c>
      <c r="H4" s="165">
        <v>0.01689</v>
      </c>
      <c r="I4" s="166">
        <v>8.76395E-09</v>
      </c>
      <c r="J4" s="165">
        <v>3.7268</v>
      </c>
      <c r="K4" s="7"/>
    </row>
    <row r="5" spans="1:11" ht="18.75" customHeight="1" thickBot="1">
      <c r="A5" s="21" t="str">
        <f t="shared" si="0"/>
        <v>RH(HighFlux)2314A026</v>
      </c>
      <c r="B5" s="18" t="s">
        <v>42</v>
      </c>
      <c r="C5" s="18" t="s">
        <v>115</v>
      </c>
      <c r="D5" s="18" t="s">
        <v>96</v>
      </c>
      <c r="E5" s="18" t="str">
        <f t="shared" si="1"/>
        <v>2314A</v>
      </c>
      <c r="F5" s="18" t="str">
        <f t="shared" si="2"/>
        <v>026</v>
      </c>
      <c r="G5" s="18">
        <v>45</v>
      </c>
      <c r="H5" s="165">
        <v>0.03872</v>
      </c>
      <c r="I5" s="166">
        <v>3.70507E-08</v>
      </c>
      <c r="J5" s="165">
        <v>3.3317</v>
      </c>
      <c r="K5" s="7"/>
    </row>
    <row r="6" spans="1:15" ht="18.75" customHeight="1">
      <c r="A6" s="21" t="str">
        <f t="shared" si="0"/>
        <v>RH(HighFlux)2314A040</v>
      </c>
      <c r="B6" s="18" t="s">
        <v>42</v>
      </c>
      <c r="C6" s="18" t="s">
        <v>116</v>
      </c>
      <c r="D6" s="18" t="s">
        <v>96</v>
      </c>
      <c r="E6" s="18" t="str">
        <f t="shared" si="1"/>
        <v>2314A</v>
      </c>
      <c r="F6" s="18" t="str">
        <f t="shared" si="2"/>
        <v>040</v>
      </c>
      <c r="G6" s="18">
        <v>69</v>
      </c>
      <c r="H6" s="165">
        <v>0.02544</v>
      </c>
      <c r="I6" s="166">
        <v>2.08231E-09</v>
      </c>
      <c r="J6" s="166">
        <v>3.92784</v>
      </c>
      <c r="K6" s="149" t="s">
        <v>96</v>
      </c>
      <c r="L6" s="228" t="s">
        <v>190</v>
      </c>
      <c r="M6" s="165">
        <v>0.03872</v>
      </c>
      <c r="N6" s="166">
        <v>3.70507E-08</v>
      </c>
      <c r="O6" s="165">
        <v>3.3317</v>
      </c>
    </row>
    <row r="7" spans="1:15" ht="18.75" customHeight="1">
      <c r="A7" s="21" t="str">
        <f t="shared" si="0"/>
        <v>RH(HighFlux)2314A060</v>
      </c>
      <c r="B7" s="18" t="s">
        <v>42</v>
      </c>
      <c r="C7" s="18" t="s">
        <v>117</v>
      </c>
      <c r="D7" s="18" t="s">
        <v>96</v>
      </c>
      <c r="E7" s="18" t="str">
        <f t="shared" si="1"/>
        <v>2314A</v>
      </c>
      <c r="F7" s="18" t="str">
        <f t="shared" si="2"/>
        <v>060</v>
      </c>
      <c r="G7" s="18">
        <v>103</v>
      </c>
      <c r="H7" s="165">
        <v>0.01689</v>
      </c>
      <c r="I7" s="166">
        <v>8.76395E-09</v>
      </c>
      <c r="J7" s="165">
        <v>3.7268</v>
      </c>
      <c r="K7" s="151" t="str">
        <f>K6</f>
        <v>RH(HighFlux)</v>
      </c>
      <c r="L7" s="229" t="s">
        <v>191</v>
      </c>
      <c r="M7" s="165">
        <v>0.02544</v>
      </c>
      <c r="N7" s="166">
        <v>2.08231E-09</v>
      </c>
      <c r="O7" s="166">
        <v>3.92784</v>
      </c>
    </row>
    <row r="8" spans="1:15" ht="18.75" customHeight="1" thickBot="1">
      <c r="A8" s="21" t="str">
        <f t="shared" si="0"/>
        <v>RH(HighFlux)2518A026</v>
      </c>
      <c r="B8" s="18" t="s">
        <v>42</v>
      </c>
      <c r="C8" s="18" t="s">
        <v>118</v>
      </c>
      <c r="D8" s="18" t="s">
        <v>96</v>
      </c>
      <c r="E8" s="18" t="str">
        <f t="shared" si="1"/>
        <v>2518A</v>
      </c>
      <c r="F8" s="18" t="str">
        <f t="shared" si="2"/>
        <v>026</v>
      </c>
      <c r="G8" s="18">
        <v>63</v>
      </c>
      <c r="H8" s="165">
        <v>0.03872</v>
      </c>
      <c r="I8" s="166">
        <v>3.70507E-08</v>
      </c>
      <c r="J8" s="165">
        <v>3.3317</v>
      </c>
      <c r="K8" s="152" t="str">
        <f>K7</f>
        <v>RH(HighFlux)</v>
      </c>
      <c r="L8" s="230" t="s">
        <v>192</v>
      </c>
      <c r="M8" s="165">
        <v>0.01689</v>
      </c>
      <c r="N8" s="166">
        <v>8.76395E-09</v>
      </c>
      <c r="O8" s="165">
        <v>3.7268</v>
      </c>
    </row>
    <row r="9" spans="1:15" ht="18.75" customHeight="1">
      <c r="A9" s="21" t="str">
        <f t="shared" si="0"/>
        <v>RH(HighFlux)2518A040</v>
      </c>
      <c r="B9" s="18" t="s">
        <v>42</v>
      </c>
      <c r="C9" s="18" t="s">
        <v>119</v>
      </c>
      <c r="D9" s="18" t="s">
        <v>96</v>
      </c>
      <c r="E9" s="18" t="str">
        <f t="shared" si="1"/>
        <v>2518A</v>
      </c>
      <c r="F9" s="18" t="str">
        <f t="shared" si="2"/>
        <v>040</v>
      </c>
      <c r="G9" s="18">
        <v>97</v>
      </c>
      <c r="H9" s="165">
        <v>0.02544</v>
      </c>
      <c r="I9" s="166">
        <v>2.08231E-09</v>
      </c>
      <c r="J9" s="166">
        <v>3.92784</v>
      </c>
      <c r="K9" s="149" t="s">
        <v>97</v>
      </c>
      <c r="L9" s="231" t="s">
        <v>190</v>
      </c>
      <c r="M9" s="165">
        <v>0.03861</v>
      </c>
      <c r="N9" s="166">
        <v>8.71756E-08</v>
      </c>
      <c r="O9" s="165">
        <v>2.98839</v>
      </c>
    </row>
    <row r="10" spans="1:15" ht="18.75" customHeight="1">
      <c r="A10" s="21" t="str">
        <f t="shared" si="0"/>
        <v>RH(HighFlux)2518A060</v>
      </c>
      <c r="B10" s="18" t="s">
        <v>42</v>
      </c>
      <c r="C10" s="18" t="s">
        <v>120</v>
      </c>
      <c r="D10" s="18" t="s">
        <v>96</v>
      </c>
      <c r="E10" s="18" t="str">
        <f t="shared" si="1"/>
        <v>2518A</v>
      </c>
      <c r="F10" s="18" t="str">
        <f t="shared" si="2"/>
        <v>060</v>
      </c>
      <c r="G10" s="18">
        <v>146</v>
      </c>
      <c r="H10" s="165">
        <v>0.01689</v>
      </c>
      <c r="I10" s="166">
        <v>8.76395E-09</v>
      </c>
      <c r="J10" s="165">
        <v>3.7268</v>
      </c>
      <c r="K10" s="151" t="str">
        <f>K9</f>
        <v>RK(MegaFlux)</v>
      </c>
      <c r="L10" s="229" t="s">
        <v>191</v>
      </c>
      <c r="M10" s="165">
        <v>0.02534</v>
      </c>
      <c r="N10" s="166">
        <v>1.52282E-08</v>
      </c>
      <c r="O10" s="166">
        <v>3.5265</v>
      </c>
    </row>
    <row r="11" spans="1:15" ht="18.75" customHeight="1" thickBot="1">
      <c r="A11" s="21" t="str">
        <f t="shared" si="0"/>
        <v>RH(HighFlux)2518B026</v>
      </c>
      <c r="B11" s="18" t="s">
        <v>42</v>
      </c>
      <c r="C11" s="18" t="s">
        <v>121</v>
      </c>
      <c r="D11" s="18" t="s">
        <v>96</v>
      </c>
      <c r="E11" s="18" t="str">
        <f t="shared" si="1"/>
        <v>2518B</v>
      </c>
      <c r="F11" s="18" t="str">
        <f t="shared" si="2"/>
        <v>026</v>
      </c>
      <c r="G11" s="18">
        <v>53</v>
      </c>
      <c r="H11" s="165">
        <v>0.03872</v>
      </c>
      <c r="I11" s="166">
        <v>3.70507E-08</v>
      </c>
      <c r="J11" s="165">
        <v>3.3317</v>
      </c>
      <c r="K11" s="152" t="str">
        <f>K10</f>
        <v>RK(MegaFlux)</v>
      </c>
      <c r="L11" s="232" t="s">
        <v>193</v>
      </c>
      <c r="M11" s="165">
        <v>0.01667</v>
      </c>
      <c r="N11" s="166">
        <v>3.76423E-07</v>
      </c>
      <c r="O11" s="165">
        <v>3.0547</v>
      </c>
    </row>
    <row r="12" spans="1:15" ht="18.75" customHeight="1">
      <c r="A12" s="21" t="str">
        <f t="shared" si="0"/>
        <v>RH(HighFlux)2518B040</v>
      </c>
      <c r="B12" s="18" t="s">
        <v>42</v>
      </c>
      <c r="C12" s="18" t="s">
        <v>122</v>
      </c>
      <c r="D12" s="18" t="s">
        <v>96</v>
      </c>
      <c r="E12" s="18" t="str">
        <f t="shared" si="1"/>
        <v>2518B</v>
      </c>
      <c r="F12" s="18" t="str">
        <f t="shared" si="2"/>
        <v>040</v>
      </c>
      <c r="G12" s="18">
        <v>81</v>
      </c>
      <c r="H12" s="165">
        <v>0.02544</v>
      </c>
      <c r="I12" s="166">
        <v>2.08231E-09</v>
      </c>
      <c r="J12" s="166">
        <v>3.92784</v>
      </c>
      <c r="K12" s="149"/>
      <c r="L12" s="173"/>
      <c r="M12" s="165">
        <v>0.03862</v>
      </c>
      <c r="N12" s="166">
        <v>2.12011E-06</v>
      </c>
      <c r="O12" s="165">
        <v>2.76067</v>
      </c>
    </row>
    <row r="13" spans="1:15" ht="18.75" customHeight="1" thickBot="1">
      <c r="A13" s="21" t="str">
        <f t="shared" si="0"/>
        <v>RH(HighFlux)2518B060</v>
      </c>
      <c r="B13" s="18" t="s">
        <v>42</v>
      </c>
      <c r="C13" s="18" t="s">
        <v>123</v>
      </c>
      <c r="D13" s="18" t="s">
        <v>96</v>
      </c>
      <c r="E13" s="18" t="str">
        <f t="shared" si="1"/>
        <v>2518B</v>
      </c>
      <c r="F13" s="18" t="str">
        <f t="shared" si="2"/>
        <v>060</v>
      </c>
      <c r="G13" s="18">
        <v>122</v>
      </c>
      <c r="H13" s="165">
        <v>0.01689</v>
      </c>
      <c r="I13" s="166">
        <v>8.76395E-09</v>
      </c>
      <c r="J13" s="165">
        <v>3.7268</v>
      </c>
      <c r="K13" s="152"/>
      <c r="L13" s="174"/>
      <c r="M13" s="165">
        <v>0.02529</v>
      </c>
      <c r="N13" s="166">
        <v>1.17321E-06</v>
      </c>
      <c r="O13" s="165">
        <v>2.9813</v>
      </c>
    </row>
    <row r="14" spans="1:15" ht="18.75" customHeight="1" thickBot="1">
      <c r="A14" s="21" t="str">
        <f t="shared" si="0"/>
        <v>RH(HighFlux)3020A026</v>
      </c>
      <c r="B14" s="18" t="s">
        <v>42</v>
      </c>
      <c r="C14" s="18" t="s">
        <v>124</v>
      </c>
      <c r="D14" s="18" t="s">
        <v>96</v>
      </c>
      <c r="E14" s="18" t="str">
        <f t="shared" si="1"/>
        <v>3020A</v>
      </c>
      <c r="F14" s="18" t="str">
        <f t="shared" si="2"/>
        <v>026</v>
      </c>
      <c r="G14" s="18">
        <v>64</v>
      </c>
      <c r="H14" s="165">
        <v>0.03872</v>
      </c>
      <c r="I14" s="166">
        <v>3.70507E-08</v>
      </c>
      <c r="J14" s="165">
        <v>3.3317</v>
      </c>
      <c r="K14" s="152"/>
      <c r="L14" s="164"/>
      <c r="M14" s="165"/>
      <c r="N14" s="166"/>
      <c r="O14" s="165"/>
    </row>
    <row r="15" spans="1:10" ht="18.75" customHeight="1">
      <c r="A15" s="21" t="str">
        <f t="shared" si="0"/>
        <v>RH(HighFlux)3020A040</v>
      </c>
      <c r="B15" s="18" t="s">
        <v>42</v>
      </c>
      <c r="C15" s="18" t="s">
        <v>125</v>
      </c>
      <c r="D15" s="18" t="s">
        <v>96</v>
      </c>
      <c r="E15" s="18" t="str">
        <f t="shared" si="1"/>
        <v>3020A</v>
      </c>
      <c r="F15" s="18" t="str">
        <f t="shared" si="2"/>
        <v>040</v>
      </c>
      <c r="G15" s="18">
        <v>99</v>
      </c>
      <c r="H15" s="165">
        <v>0.02544</v>
      </c>
      <c r="I15" s="166">
        <v>2.08231E-09</v>
      </c>
      <c r="J15" s="166">
        <v>3.92784</v>
      </c>
    </row>
    <row r="16" spans="1:13" ht="18.75" customHeight="1">
      <c r="A16" s="21" t="str">
        <f t="shared" si="0"/>
        <v>RH(HighFlux)3020A060</v>
      </c>
      <c r="B16" s="18" t="s">
        <v>42</v>
      </c>
      <c r="C16" s="18" t="s">
        <v>126</v>
      </c>
      <c r="D16" s="18" t="s">
        <v>96</v>
      </c>
      <c r="E16" s="18" t="str">
        <f t="shared" si="1"/>
        <v>3020A</v>
      </c>
      <c r="F16" s="18" t="str">
        <f t="shared" si="2"/>
        <v>060</v>
      </c>
      <c r="G16" s="18">
        <v>148</v>
      </c>
      <c r="H16" s="165">
        <v>0.01689</v>
      </c>
      <c r="I16" s="166">
        <v>8.76395E-09</v>
      </c>
      <c r="J16" s="165">
        <v>3.7268</v>
      </c>
      <c r="M16" s="138"/>
    </row>
    <row r="17" spans="1:12" ht="18.75" customHeight="1">
      <c r="A17" s="21" t="str">
        <f t="shared" si="0"/>
        <v>RH(HighFlux)3020B026</v>
      </c>
      <c r="B17" s="18" t="s">
        <v>42</v>
      </c>
      <c r="C17" s="18" t="s">
        <v>127</v>
      </c>
      <c r="D17" s="18" t="s">
        <v>96</v>
      </c>
      <c r="E17" s="18" t="str">
        <f t="shared" si="1"/>
        <v>3020B</v>
      </c>
      <c r="F17" s="18" t="str">
        <f t="shared" si="2"/>
        <v>026</v>
      </c>
      <c r="G17" s="18">
        <v>54</v>
      </c>
      <c r="H17" s="165">
        <v>0.03872</v>
      </c>
      <c r="I17" s="166">
        <v>3.70507E-08</v>
      </c>
      <c r="J17" s="165">
        <v>3.3317</v>
      </c>
      <c r="L17" s="138"/>
    </row>
    <row r="18" spans="1:10" ht="18.75" customHeight="1">
      <c r="A18" s="21" t="str">
        <f t="shared" si="0"/>
        <v>RH(HighFlux)3020B040</v>
      </c>
      <c r="B18" s="18" t="s">
        <v>42</v>
      </c>
      <c r="C18" s="18" t="s">
        <v>128</v>
      </c>
      <c r="D18" s="18" t="s">
        <v>96</v>
      </c>
      <c r="E18" s="18" t="str">
        <f t="shared" si="1"/>
        <v>3020B</v>
      </c>
      <c r="F18" s="18" t="str">
        <f t="shared" si="2"/>
        <v>040</v>
      </c>
      <c r="G18" s="18">
        <v>84</v>
      </c>
      <c r="H18" s="165">
        <v>0.02544</v>
      </c>
      <c r="I18" s="166">
        <v>2.08231E-09</v>
      </c>
      <c r="J18" s="166">
        <v>3.92784</v>
      </c>
    </row>
    <row r="19" spans="1:12" ht="18.75" customHeight="1">
      <c r="A19" s="21" t="str">
        <f t="shared" si="0"/>
        <v>RH(HighFlux)3020B060</v>
      </c>
      <c r="B19" s="18" t="s">
        <v>42</v>
      </c>
      <c r="C19" s="18" t="s">
        <v>129</v>
      </c>
      <c r="D19" s="18" t="s">
        <v>96</v>
      </c>
      <c r="E19" s="18" t="str">
        <f t="shared" si="1"/>
        <v>3020B</v>
      </c>
      <c r="F19" s="18" t="str">
        <f t="shared" si="2"/>
        <v>060</v>
      </c>
      <c r="G19" s="18">
        <v>125</v>
      </c>
      <c r="H19" s="165">
        <v>0.01689</v>
      </c>
      <c r="I19" s="166">
        <v>8.76395E-09</v>
      </c>
      <c r="J19" s="165">
        <v>3.7268</v>
      </c>
      <c r="L19" s="138"/>
    </row>
    <row r="20" spans="1:12" ht="18.75" customHeight="1">
      <c r="A20" s="21" t="str">
        <f t="shared" si="0"/>
        <v>RH(HighFlux)3222A026</v>
      </c>
      <c r="B20" s="18" t="s">
        <v>42</v>
      </c>
      <c r="C20" s="18" t="s">
        <v>130</v>
      </c>
      <c r="D20" s="18" t="s">
        <v>96</v>
      </c>
      <c r="E20" s="18" t="str">
        <f t="shared" si="1"/>
        <v>3222A</v>
      </c>
      <c r="F20" s="18" t="str">
        <f t="shared" si="2"/>
        <v>026</v>
      </c>
      <c r="G20" s="18">
        <v>75</v>
      </c>
      <c r="H20" s="165">
        <v>0.03872</v>
      </c>
      <c r="I20" s="166">
        <v>3.70507E-08</v>
      </c>
      <c r="J20" s="165">
        <v>3.3317</v>
      </c>
      <c r="L20" s="138"/>
    </row>
    <row r="21" spans="1:10" ht="18.75" customHeight="1">
      <c r="A21" s="21" t="str">
        <f t="shared" si="0"/>
        <v>RH(HighFlux)3222A040</v>
      </c>
      <c r="B21" s="18" t="s">
        <v>42</v>
      </c>
      <c r="C21" s="18" t="s">
        <v>131</v>
      </c>
      <c r="D21" s="18" t="s">
        <v>96</v>
      </c>
      <c r="E21" s="18" t="str">
        <f t="shared" si="1"/>
        <v>3222A</v>
      </c>
      <c r="F21" s="18" t="str">
        <f t="shared" si="2"/>
        <v>040</v>
      </c>
      <c r="G21" s="18">
        <v>115</v>
      </c>
      <c r="H21" s="165">
        <v>0.02544</v>
      </c>
      <c r="I21" s="166">
        <v>2.08231E-09</v>
      </c>
      <c r="J21" s="166">
        <v>3.92784</v>
      </c>
    </row>
    <row r="22" spans="1:12" ht="18.75" customHeight="1">
      <c r="A22" s="21" t="str">
        <f t="shared" si="0"/>
        <v>RH(HighFlux)3222A060</v>
      </c>
      <c r="B22" s="18" t="s">
        <v>42</v>
      </c>
      <c r="C22" s="18" t="s">
        <v>132</v>
      </c>
      <c r="D22" s="18" t="s">
        <v>96</v>
      </c>
      <c r="E22" s="18" t="str">
        <f t="shared" si="1"/>
        <v>3222A</v>
      </c>
      <c r="F22" s="18" t="str">
        <f t="shared" si="2"/>
        <v>060</v>
      </c>
      <c r="G22" s="18">
        <v>172</v>
      </c>
      <c r="H22" s="165">
        <v>0.01689</v>
      </c>
      <c r="I22" s="166">
        <v>8.76395E-09</v>
      </c>
      <c r="J22" s="165">
        <v>3.7268</v>
      </c>
      <c r="L22" s="138"/>
    </row>
    <row r="23" spans="1:13" ht="18.75" customHeight="1">
      <c r="A23" s="21" t="str">
        <f t="shared" si="0"/>
        <v>RH(HighFlux)3222B026</v>
      </c>
      <c r="B23" s="18" t="s">
        <v>42</v>
      </c>
      <c r="C23" s="18" t="s">
        <v>133</v>
      </c>
      <c r="D23" s="18" t="s">
        <v>96</v>
      </c>
      <c r="E23" s="18" t="str">
        <f t="shared" si="1"/>
        <v>3222B</v>
      </c>
      <c r="F23" s="18" t="str">
        <f t="shared" si="2"/>
        <v>026</v>
      </c>
      <c r="G23" s="18">
        <v>62</v>
      </c>
      <c r="H23" s="165">
        <v>0.03872</v>
      </c>
      <c r="I23" s="166">
        <v>3.70507E-08</v>
      </c>
      <c r="J23" s="165">
        <v>3.3317</v>
      </c>
      <c r="M23" s="138"/>
    </row>
    <row r="24" spans="1:10" ht="18.75" customHeight="1">
      <c r="A24" s="21" t="str">
        <f t="shared" si="0"/>
        <v>RH(HighFlux)3222B040</v>
      </c>
      <c r="B24" s="18" t="s">
        <v>42</v>
      </c>
      <c r="C24" s="18" t="s">
        <v>134</v>
      </c>
      <c r="D24" s="18" t="s">
        <v>96</v>
      </c>
      <c r="E24" s="18" t="str">
        <f t="shared" si="1"/>
        <v>3222B</v>
      </c>
      <c r="F24" s="18" t="str">
        <f t="shared" si="2"/>
        <v>040</v>
      </c>
      <c r="G24" s="18">
        <v>96</v>
      </c>
      <c r="H24" s="165">
        <v>0.02544</v>
      </c>
      <c r="I24" s="166">
        <v>2.08231E-09</v>
      </c>
      <c r="J24" s="166">
        <v>3.92784</v>
      </c>
    </row>
    <row r="25" spans="1:12" ht="18.75" customHeight="1">
      <c r="A25" s="21" t="str">
        <f t="shared" si="0"/>
        <v>RH(HighFlux)3222B060</v>
      </c>
      <c r="B25" s="18" t="s">
        <v>42</v>
      </c>
      <c r="C25" s="18" t="s">
        <v>135</v>
      </c>
      <c r="D25" s="18" t="s">
        <v>96</v>
      </c>
      <c r="E25" s="18" t="str">
        <f t="shared" si="1"/>
        <v>3222B</v>
      </c>
      <c r="F25" s="18" t="str">
        <f t="shared" si="2"/>
        <v>060</v>
      </c>
      <c r="G25" s="18">
        <v>144</v>
      </c>
      <c r="H25" s="165">
        <v>0.01689</v>
      </c>
      <c r="I25" s="166">
        <v>8.76395E-09</v>
      </c>
      <c r="J25" s="165">
        <v>3.7268</v>
      </c>
      <c r="L25" s="138"/>
    </row>
    <row r="26" spans="1:13" ht="18.75" customHeight="1">
      <c r="A26" s="21" t="str">
        <f t="shared" si="0"/>
        <v>RH(HighFlux)3222C026</v>
      </c>
      <c r="B26" s="18" t="s">
        <v>42</v>
      </c>
      <c r="C26" s="18" t="s">
        <v>136</v>
      </c>
      <c r="D26" s="18" t="s">
        <v>96</v>
      </c>
      <c r="E26" s="18" t="str">
        <f t="shared" si="1"/>
        <v>3222C</v>
      </c>
      <c r="F26" s="18" t="str">
        <f t="shared" si="2"/>
        <v>026</v>
      </c>
      <c r="G26" s="18">
        <v>57</v>
      </c>
      <c r="H26" s="165">
        <v>0.03872</v>
      </c>
      <c r="I26" s="166">
        <v>3.70507E-08</v>
      </c>
      <c r="J26" s="165">
        <v>3.3317</v>
      </c>
      <c r="M26" s="138"/>
    </row>
    <row r="27" spans="1:10" ht="18.75" customHeight="1">
      <c r="A27" s="21" t="str">
        <f t="shared" si="0"/>
        <v>RH(HighFlux)3222C040</v>
      </c>
      <c r="B27" s="18" t="s">
        <v>42</v>
      </c>
      <c r="C27" s="18" t="s">
        <v>137</v>
      </c>
      <c r="D27" s="18" t="s">
        <v>96</v>
      </c>
      <c r="E27" s="18" t="str">
        <f t="shared" si="1"/>
        <v>3222C</v>
      </c>
      <c r="F27" s="18" t="str">
        <f t="shared" si="2"/>
        <v>040</v>
      </c>
      <c r="G27" s="18">
        <v>88</v>
      </c>
      <c r="H27" s="165">
        <v>0.02544</v>
      </c>
      <c r="I27" s="166">
        <v>2.08231E-09</v>
      </c>
      <c r="J27" s="166">
        <v>3.92784</v>
      </c>
    </row>
    <row r="28" spans="1:12" ht="18.75" customHeight="1">
      <c r="A28" s="21" t="str">
        <f t="shared" si="0"/>
        <v>RH(HighFlux)3222C060</v>
      </c>
      <c r="B28" s="18" t="s">
        <v>42</v>
      </c>
      <c r="C28" s="18" t="s">
        <v>138</v>
      </c>
      <c r="D28" s="18" t="s">
        <v>96</v>
      </c>
      <c r="E28" s="18" t="str">
        <f t="shared" si="1"/>
        <v>3222C</v>
      </c>
      <c r="F28" s="18" t="str">
        <f t="shared" si="2"/>
        <v>060</v>
      </c>
      <c r="G28" s="18">
        <v>131</v>
      </c>
      <c r="H28" s="165">
        <v>0.01689</v>
      </c>
      <c r="I28" s="166">
        <v>8.76395E-09</v>
      </c>
      <c r="J28" s="165">
        <v>3.7268</v>
      </c>
      <c r="L28" s="138"/>
    </row>
    <row r="29" spans="1:10" ht="18.75" customHeight="1">
      <c r="A29" s="21" t="str">
        <f t="shared" si="0"/>
        <v>RH(HighFlux)3624A026</v>
      </c>
      <c r="B29" s="18" t="s">
        <v>42</v>
      </c>
      <c r="C29" s="18" t="s">
        <v>139</v>
      </c>
      <c r="D29" s="18" t="s">
        <v>96</v>
      </c>
      <c r="E29" s="18" t="str">
        <f t="shared" si="1"/>
        <v>3624A</v>
      </c>
      <c r="F29" s="18" t="str">
        <f t="shared" si="2"/>
        <v>026</v>
      </c>
      <c r="G29" s="18">
        <v>85</v>
      </c>
      <c r="H29" s="165">
        <v>0.03872</v>
      </c>
      <c r="I29" s="166">
        <v>3.70507E-08</v>
      </c>
      <c r="J29" s="165">
        <v>3.3317</v>
      </c>
    </row>
    <row r="30" spans="1:12" ht="18.75" customHeight="1">
      <c r="A30" s="21" t="str">
        <f t="shared" si="0"/>
        <v>RH(HighFlux)3624A040</v>
      </c>
      <c r="B30" s="18" t="s">
        <v>42</v>
      </c>
      <c r="C30" s="18" t="s">
        <v>140</v>
      </c>
      <c r="D30" s="18" t="s">
        <v>96</v>
      </c>
      <c r="E30" s="18" t="str">
        <f t="shared" si="1"/>
        <v>3624A</v>
      </c>
      <c r="F30" s="18" t="str">
        <f t="shared" si="2"/>
        <v>040</v>
      </c>
      <c r="G30" s="18">
        <v>131</v>
      </c>
      <c r="H30" s="165">
        <v>0.02544</v>
      </c>
      <c r="I30" s="166">
        <v>2.08231E-09</v>
      </c>
      <c r="J30" s="166">
        <v>3.92784</v>
      </c>
      <c r="L30" s="138"/>
    </row>
    <row r="31" spans="1:10" ht="18.75" customHeight="1">
      <c r="A31" s="21" t="str">
        <f aca="true" t="shared" si="3" ref="A31:A40">D31&amp;E31&amp;F31</f>
        <v>RH(HighFlux)3624A060</v>
      </c>
      <c r="B31" s="18" t="s">
        <v>42</v>
      </c>
      <c r="C31" s="18" t="s">
        <v>141</v>
      </c>
      <c r="D31" s="18" t="s">
        <v>96</v>
      </c>
      <c r="E31" s="18" t="str">
        <f t="shared" si="1"/>
        <v>3624A</v>
      </c>
      <c r="F31" s="18" t="str">
        <f t="shared" si="2"/>
        <v>060</v>
      </c>
      <c r="G31" s="18">
        <v>197</v>
      </c>
      <c r="H31" s="165">
        <v>0.01689</v>
      </c>
      <c r="I31" s="166">
        <v>8.76395E-09</v>
      </c>
      <c r="J31" s="165">
        <v>3.7268</v>
      </c>
    </row>
    <row r="32" spans="1:10" ht="18.75" customHeight="1">
      <c r="A32" s="21" t="str">
        <f t="shared" si="3"/>
        <v>RH(HighFlux)3624B026</v>
      </c>
      <c r="B32" s="18" t="s">
        <v>42</v>
      </c>
      <c r="C32" s="18" t="s">
        <v>142</v>
      </c>
      <c r="D32" s="18" t="s">
        <v>96</v>
      </c>
      <c r="E32" s="18" t="str">
        <f t="shared" si="1"/>
        <v>3624B</v>
      </c>
      <c r="F32" s="18" t="str">
        <f t="shared" si="2"/>
        <v>026</v>
      </c>
      <c r="G32" s="18">
        <v>72</v>
      </c>
      <c r="H32" s="165">
        <v>0.03872</v>
      </c>
      <c r="I32" s="166">
        <v>3.70507E-08</v>
      </c>
      <c r="J32" s="165">
        <v>3.3317</v>
      </c>
    </row>
    <row r="33" spans="1:12" ht="18.75" customHeight="1">
      <c r="A33" s="21" t="str">
        <f t="shared" si="3"/>
        <v>RH(HighFlux)3624B040</v>
      </c>
      <c r="B33" s="18" t="s">
        <v>42</v>
      </c>
      <c r="C33" s="18" t="s">
        <v>143</v>
      </c>
      <c r="D33" s="18" t="s">
        <v>96</v>
      </c>
      <c r="E33" s="18" t="str">
        <f t="shared" si="1"/>
        <v>3624B</v>
      </c>
      <c r="F33" s="18" t="str">
        <f t="shared" si="2"/>
        <v>040</v>
      </c>
      <c r="G33" s="18">
        <v>110</v>
      </c>
      <c r="H33" s="165">
        <v>0.02544</v>
      </c>
      <c r="I33" s="166">
        <v>2.08231E-09</v>
      </c>
      <c r="J33" s="166">
        <v>3.92784</v>
      </c>
      <c r="L33" s="138"/>
    </row>
    <row r="34" spans="1:10" ht="18.75" customHeight="1">
      <c r="A34" s="21" t="str">
        <f t="shared" si="3"/>
        <v>RH(HighFlux)3624B060</v>
      </c>
      <c r="B34" s="18" t="s">
        <v>42</v>
      </c>
      <c r="C34" s="18" t="s">
        <v>144</v>
      </c>
      <c r="D34" s="18" t="s">
        <v>96</v>
      </c>
      <c r="E34" s="18" t="str">
        <f t="shared" si="1"/>
        <v>3624B</v>
      </c>
      <c r="F34" s="18" t="str">
        <f t="shared" si="2"/>
        <v>060</v>
      </c>
      <c r="G34" s="18">
        <v>166</v>
      </c>
      <c r="H34" s="165">
        <v>0.01689</v>
      </c>
      <c r="I34" s="166">
        <v>8.76395E-09</v>
      </c>
      <c r="J34" s="165">
        <v>3.7268</v>
      </c>
    </row>
    <row r="35" spans="1:10" ht="18.75" customHeight="1">
      <c r="A35" s="21" t="str">
        <f t="shared" si="3"/>
        <v>RH(HighFlux)4225A026</v>
      </c>
      <c r="B35" s="18" t="s">
        <v>42</v>
      </c>
      <c r="C35" s="18" t="s">
        <v>145</v>
      </c>
      <c r="D35" s="18" t="s">
        <v>96</v>
      </c>
      <c r="E35" s="18" t="str">
        <f t="shared" si="1"/>
        <v>4225A</v>
      </c>
      <c r="F35" s="18" t="str">
        <f t="shared" si="2"/>
        <v>026</v>
      </c>
      <c r="G35" s="18">
        <v>88</v>
      </c>
      <c r="H35" s="165">
        <v>0.03872</v>
      </c>
      <c r="I35" s="166">
        <v>3.70507E-08</v>
      </c>
      <c r="J35" s="165">
        <v>3.3317</v>
      </c>
    </row>
    <row r="36" spans="1:12" ht="18.75" customHeight="1">
      <c r="A36" s="21" t="str">
        <f t="shared" si="3"/>
        <v>RH(HighFlux)4225A040</v>
      </c>
      <c r="B36" s="18" t="s">
        <v>42</v>
      </c>
      <c r="C36" s="18" t="s">
        <v>146</v>
      </c>
      <c r="D36" s="18" t="s">
        <v>96</v>
      </c>
      <c r="E36" s="18" t="str">
        <f t="shared" si="1"/>
        <v>4225A</v>
      </c>
      <c r="F36" s="18" t="str">
        <f t="shared" si="2"/>
        <v>040</v>
      </c>
      <c r="G36" s="18">
        <v>136</v>
      </c>
      <c r="H36" s="165">
        <v>0.02544</v>
      </c>
      <c r="I36" s="166">
        <v>2.08231E-09</v>
      </c>
      <c r="J36" s="166">
        <v>3.92784</v>
      </c>
      <c r="L36" s="138"/>
    </row>
    <row r="37" spans="1:10" ht="18.75" customHeight="1">
      <c r="A37" s="21" t="str">
        <f t="shared" si="3"/>
        <v>RH(HighFlux)4225A060</v>
      </c>
      <c r="B37" s="18" t="s">
        <v>42</v>
      </c>
      <c r="C37" s="18" t="s">
        <v>147</v>
      </c>
      <c r="D37" s="18" t="s">
        <v>96</v>
      </c>
      <c r="E37" s="18" t="str">
        <f t="shared" si="1"/>
        <v>4225A</v>
      </c>
      <c r="F37" s="18" t="str">
        <f t="shared" si="2"/>
        <v>060</v>
      </c>
      <c r="G37" s="18">
        <v>204</v>
      </c>
      <c r="H37" s="165">
        <v>0.01689</v>
      </c>
      <c r="I37" s="166">
        <v>8.76395E-09</v>
      </c>
      <c r="J37" s="165">
        <v>3.7268</v>
      </c>
    </row>
    <row r="38" spans="1:11" ht="18.75" customHeight="1">
      <c r="A38" s="21" t="str">
        <f t="shared" si="3"/>
        <v>RH(HighFlux)4225B026</v>
      </c>
      <c r="B38" s="18" t="s">
        <v>42</v>
      </c>
      <c r="C38" s="18" t="s">
        <v>148</v>
      </c>
      <c r="D38" s="18" t="s">
        <v>96</v>
      </c>
      <c r="E38" s="18" t="str">
        <f t="shared" si="1"/>
        <v>4225B</v>
      </c>
      <c r="F38" s="18" t="str">
        <f t="shared" si="2"/>
        <v>026</v>
      </c>
      <c r="G38" s="18">
        <v>75</v>
      </c>
      <c r="H38" s="165">
        <v>0.03872</v>
      </c>
      <c r="I38" s="166">
        <v>3.70507E-08</v>
      </c>
      <c r="J38" s="165">
        <v>3.3317</v>
      </c>
      <c r="K38" s="138"/>
    </row>
    <row r="39" spans="1:12" ht="18.75" customHeight="1">
      <c r="A39" s="21" t="str">
        <f t="shared" si="3"/>
        <v>RH(HighFlux)4225B040</v>
      </c>
      <c r="B39" s="18" t="s">
        <v>42</v>
      </c>
      <c r="C39" s="18" t="s">
        <v>149</v>
      </c>
      <c r="D39" s="18" t="s">
        <v>96</v>
      </c>
      <c r="E39" s="18" t="str">
        <f t="shared" si="1"/>
        <v>4225B</v>
      </c>
      <c r="F39" s="18" t="str">
        <f t="shared" si="2"/>
        <v>040</v>
      </c>
      <c r="G39" s="18">
        <v>115</v>
      </c>
      <c r="H39" s="165">
        <v>0.02544</v>
      </c>
      <c r="I39" s="166">
        <v>2.08231E-09</v>
      </c>
      <c r="J39" s="166">
        <v>3.92784</v>
      </c>
      <c r="L39" s="138"/>
    </row>
    <row r="40" spans="1:10" ht="18.75" customHeight="1">
      <c r="A40" s="21" t="str">
        <f t="shared" si="3"/>
        <v>RH(HighFlux)4225B060</v>
      </c>
      <c r="B40" s="18" t="s">
        <v>42</v>
      </c>
      <c r="C40" s="18" t="s">
        <v>150</v>
      </c>
      <c r="D40" s="18" t="s">
        <v>96</v>
      </c>
      <c r="E40" s="18" t="str">
        <f t="shared" si="1"/>
        <v>4225B</v>
      </c>
      <c r="F40" s="18" t="str">
        <f t="shared" si="2"/>
        <v>060</v>
      </c>
      <c r="G40" s="18">
        <v>172</v>
      </c>
      <c r="H40" s="165">
        <v>0.01689</v>
      </c>
      <c r="I40" s="166">
        <v>8.76395E-09</v>
      </c>
      <c r="J40" s="165">
        <v>3.7268</v>
      </c>
    </row>
    <row r="41" spans="1:10" ht="18.75" customHeight="1">
      <c r="A41" s="21" t="str">
        <f>D41&amp;E41&amp;F41</f>
        <v>RH(HighFlux)4628A026</v>
      </c>
      <c r="B41" s="18" t="s">
        <v>42</v>
      </c>
      <c r="C41" s="18" t="s">
        <v>341</v>
      </c>
      <c r="D41" s="18" t="s">
        <v>96</v>
      </c>
      <c r="E41" s="18" t="str">
        <f>MID(C41,3,5)</f>
        <v>4628A</v>
      </c>
      <c r="F41" s="18" t="str">
        <f>MID(C41,8,3)</f>
        <v>026</v>
      </c>
      <c r="G41" s="18">
        <v>69</v>
      </c>
      <c r="H41" s="165">
        <v>0.03872</v>
      </c>
      <c r="I41" s="166">
        <v>3.70507E-08</v>
      </c>
      <c r="J41" s="165">
        <v>3.3317</v>
      </c>
    </row>
    <row r="42" spans="1:10" ht="18.75" customHeight="1">
      <c r="A42" s="21" t="str">
        <f>D42&amp;E42&amp;F42</f>
        <v>RH(HighFlux)4628A040</v>
      </c>
      <c r="B42" s="18" t="s">
        <v>42</v>
      </c>
      <c r="C42" s="18" t="s">
        <v>342</v>
      </c>
      <c r="D42" s="18" t="s">
        <v>96</v>
      </c>
      <c r="E42" s="18" t="str">
        <f>MID(C42,3,5)</f>
        <v>4628A</v>
      </c>
      <c r="F42" s="18" t="str">
        <f>MID(C42,8,3)</f>
        <v>040</v>
      </c>
      <c r="G42" s="18">
        <v>106</v>
      </c>
      <c r="H42" s="165">
        <v>0.02544</v>
      </c>
      <c r="I42" s="166">
        <v>2.08231E-09</v>
      </c>
      <c r="J42" s="166">
        <v>3.92784</v>
      </c>
    </row>
    <row r="43" spans="1:10" ht="18.75" customHeight="1">
      <c r="A43" s="21" t="str">
        <f>D43&amp;E43&amp;F43</f>
        <v>RH(HighFlux)4628A060</v>
      </c>
      <c r="B43" s="18" t="s">
        <v>42</v>
      </c>
      <c r="C43" s="18" t="s">
        <v>343</v>
      </c>
      <c r="D43" s="18" t="s">
        <v>96</v>
      </c>
      <c r="E43" s="18" t="str">
        <f>MID(C43,3,5)</f>
        <v>4628A</v>
      </c>
      <c r="F43" s="18" t="str">
        <f>MID(C43,8,3)</f>
        <v>060</v>
      </c>
      <c r="G43" s="18">
        <v>159</v>
      </c>
      <c r="H43" s="165">
        <v>0.01689</v>
      </c>
      <c r="I43" s="166">
        <v>8.76395E-09</v>
      </c>
      <c r="J43" s="165">
        <v>3.7268</v>
      </c>
    </row>
    <row r="44" spans="1:11" ht="18.75" customHeight="1">
      <c r="A44" s="21" t="str">
        <f aca="true" t="shared" si="4" ref="A44:A73">D44&amp;E44&amp;F44</f>
        <v>RK(MegaFlux)1911A026</v>
      </c>
      <c r="B44" s="18" t="s">
        <v>42</v>
      </c>
      <c r="C44" s="18" t="s">
        <v>151</v>
      </c>
      <c r="D44" s="18" t="s">
        <v>97</v>
      </c>
      <c r="E44" s="18" t="str">
        <f>MID(C44,3,5)</f>
        <v>1911A</v>
      </c>
      <c r="F44" s="18" t="str">
        <f t="shared" si="2"/>
        <v>026</v>
      </c>
      <c r="G44" s="18">
        <v>39</v>
      </c>
      <c r="H44" s="165">
        <v>0.03861</v>
      </c>
      <c r="I44" s="166">
        <v>8.71756E-08</v>
      </c>
      <c r="J44" s="165">
        <v>2.98839</v>
      </c>
      <c r="K44" s="138"/>
    </row>
    <row r="45" spans="1:12" ht="18.75" customHeight="1">
      <c r="A45" s="21" t="str">
        <f t="shared" si="4"/>
        <v>RK(MegaFlux)1911A040</v>
      </c>
      <c r="B45" s="18" t="s">
        <v>42</v>
      </c>
      <c r="C45" s="18" t="s">
        <v>152</v>
      </c>
      <c r="D45" s="18" t="s">
        <v>97</v>
      </c>
      <c r="E45" s="18" t="str">
        <f aca="true" t="shared" si="5" ref="E45:E82">MID(C45,3,5)</f>
        <v>1911A</v>
      </c>
      <c r="F45" s="18" t="str">
        <f t="shared" si="2"/>
        <v>040</v>
      </c>
      <c r="G45" s="18">
        <v>60</v>
      </c>
      <c r="H45" s="165">
        <v>0.02534</v>
      </c>
      <c r="I45" s="166">
        <v>1.52282E-08</v>
      </c>
      <c r="J45" s="166">
        <v>3.5265</v>
      </c>
      <c r="L45" s="138"/>
    </row>
    <row r="46" spans="1:10" ht="18.75" customHeight="1">
      <c r="A46" s="21" t="str">
        <f t="shared" si="4"/>
        <v>RK(MegaFlux)1911A060</v>
      </c>
      <c r="B46" s="18" t="s">
        <v>42</v>
      </c>
      <c r="C46" s="18" t="s">
        <v>153</v>
      </c>
      <c r="D46" s="18" t="s">
        <v>97</v>
      </c>
      <c r="E46" s="18" t="str">
        <f t="shared" si="5"/>
        <v>1911A</v>
      </c>
      <c r="F46" s="18" t="str">
        <f t="shared" si="2"/>
        <v>060</v>
      </c>
      <c r="G46" s="18">
        <v>90</v>
      </c>
      <c r="H46" s="165">
        <v>0.01667</v>
      </c>
      <c r="I46" s="166">
        <v>3.76423E-07</v>
      </c>
      <c r="J46" s="165">
        <v>3.0547</v>
      </c>
    </row>
    <row r="47" spans="1:10" ht="18.75" customHeight="1">
      <c r="A47" s="21" t="str">
        <f t="shared" si="4"/>
        <v>RK(MegaFlux)2314A026</v>
      </c>
      <c r="B47" s="18" t="s">
        <v>42</v>
      </c>
      <c r="C47" s="18" t="s">
        <v>154</v>
      </c>
      <c r="D47" s="18" t="s">
        <v>97</v>
      </c>
      <c r="E47" s="18" t="str">
        <f t="shared" si="5"/>
        <v>2314A</v>
      </c>
      <c r="F47" s="18" t="str">
        <f t="shared" si="2"/>
        <v>026</v>
      </c>
      <c r="G47" s="18">
        <v>45</v>
      </c>
      <c r="H47" s="165">
        <v>0.03861</v>
      </c>
      <c r="I47" s="166">
        <v>8.71756E-08</v>
      </c>
      <c r="J47" s="165">
        <v>2.98839</v>
      </c>
    </row>
    <row r="48" spans="1:10" ht="18.75" customHeight="1">
      <c r="A48" s="21" t="str">
        <f t="shared" si="4"/>
        <v>RK(MegaFlux)2314A040</v>
      </c>
      <c r="B48" s="18" t="s">
        <v>42</v>
      </c>
      <c r="C48" s="18" t="s">
        <v>155</v>
      </c>
      <c r="D48" s="18" t="s">
        <v>97</v>
      </c>
      <c r="E48" s="18" t="str">
        <f t="shared" si="5"/>
        <v>2314A</v>
      </c>
      <c r="F48" s="18" t="str">
        <f t="shared" si="2"/>
        <v>040</v>
      </c>
      <c r="G48" s="18">
        <v>69</v>
      </c>
      <c r="H48" s="165">
        <v>0.02534</v>
      </c>
      <c r="I48" s="166">
        <v>1.52282E-08</v>
      </c>
      <c r="J48" s="166">
        <v>3.5265</v>
      </c>
    </row>
    <row r="49" spans="1:10" ht="18.75" customHeight="1">
      <c r="A49" s="21" t="str">
        <f t="shared" si="4"/>
        <v>RK(MegaFlux)2314A060</v>
      </c>
      <c r="B49" s="18" t="s">
        <v>42</v>
      </c>
      <c r="C49" s="18" t="s">
        <v>156</v>
      </c>
      <c r="D49" s="18" t="s">
        <v>97</v>
      </c>
      <c r="E49" s="18" t="str">
        <f t="shared" si="5"/>
        <v>2314A</v>
      </c>
      <c r="F49" s="18" t="str">
        <f t="shared" si="2"/>
        <v>060</v>
      </c>
      <c r="G49" s="18">
        <v>103</v>
      </c>
      <c r="H49" s="165">
        <v>0.01667</v>
      </c>
      <c r="I49" s="166">
        <v>3.76423E-07</v>
      </c>
      <c r="J49" s="165">
        <v>3.0547</v>
      </c>
    </row>
    <row r="50" spans="1:10" ht="18.75" customHeight="1">
      <c r="A50" s="21" t="str">
        <f t="shared" si="4"/>
        <v>RK(MegaFlux)2518A026</v>
      </c>
      <c r="B50" s="18" t="s">
        <v>42</v>
      </c>
      <c r="C50" s="18" t="s">
        <v>157</v>
      </c>
      <c r="D50" s="18" t="s">
        <v>97</v>
      </c>
      <c r="E50" s="18" t="str">
        <f t="shared" si="5"/>
        <v>2518A</v>
      </c>
      <c r="F50" s="18" t="str">
        <f t="shared" si="2"/>
        <v>026</v>
      </c>
      <c r="G50" s="18">
        <v>63</v>
      </c>
      <c r="H50" s="165">
        <v>0.03861</v>
      </c>
      <c r="I50" s="166">
        <v>8.71756E-08</v>
      </c>
      <c r="J50" s="165">
        <v>2.98839</v>
      </c>
    </row>
    <row r="51" spans="1:10" ht="18.75" customHeight="1">
      <c r="A51" s="21" t="str">
        <f t="shared" si="4"/>
        <v>RK(MegaFlux)2518A040</v>
      </c>
      <c r="B51" s="18" t="s">
        <v>42</v>
      </c>
      <c r="C51" s="18" t="s">
        <v>158</v>
      </c>
      <c r="D51" s="18" t="s">
        <v>97</v>
      </c>
      <c r="E51" s="18" t="str">
        <f t="shared" si="5"/>
        <v>2518A</v>
      </c>
      <c r="F51" s="18" t="str">
        <f t="shared" si="2"/>
        <v>040</v>
      </c>
      <c r="G51" s="18">
        <v>97</v>
      </c>
      <c r="H51" s="165">
        <v>0.02534</v>
      </c>
      <c r="I51" s="166">
        <v>1.52282E-08</v>
      </c>
      <c r="J51" s="166">
        <v>3.5265</v>
      </c>
    </row>
    <row r="52" spans="1:10" ht="18.75" customHeight="1">
      <c r="A52" s="21" t="str">
        <f t="shared" si="4"/>
        <v>RK(MegaFlux)2518A060</v>
      </c>
      <c r="B52" s="18" t="s">
        <v>42</v>
      </c>
      <c r="C52" s="18" t="s">
        <v>159</v>
      </c>
      <c r="D52" s="18" t="s">
        <v>97</v>
      </c>
      <c r="E52" s="18" t="str">
        <f t="shared" si="5"/>
        <v>2518A</v>
      </c>
      <c r="F52" s="18" t="str">
        <f t="shared" si="2"/>
        <v>060</v>
      </c>
      <c r="G52" s="18">
        <v>146</v>
      </c>
      <c r="H52" s="165">
        <v>0.01667</v>
      </c>
      <c r="I52" s="166">
        <v>3.76423E-07</v>
      </c>
      <c r="J52" s="165">
        <v>3.0547</v>
      </c>
    </row>
    <row r="53" spans="1:10" ht="18.75" customHeight="1">
      <c r="A53" s="21" t="str">
        <f t="shared" si="4"/>
        <v>RK(MegaFlux)2518B026</v>
      </c>
      <c r="B53" s="18" t="s">
        <v>42</v>
      </c>
      <c r="C53" s="18" t="s">
        <v>160</v>
      </c>
      <c r="D53" s="18" t="s">
        <v>97</v>
      </c>
      <c r="E53" s="18" t="str">
        <f t="shared" si="5"/>
        <v>2518B</v>
      </c>
      <c r="F53" s="18" t="str">
        <f t="shared" si="2"/>
        <v>026</v>
      </c>
      <c r="G53" s="18">
        <v>53</v>
      </c>
      <c r="H53" s="165">
        <v>0.03861</v>
      </c>
      <c r="I53" s="166">
        <v>8.71756E-08</v>
      </c>
      <c r="J53" s="165">
        <v>2.98839</v>
      </c>
    </row>
    <row r="54" spans="1:10" ht="18.75" customHeight="1">
      <c r="A54" s="21" t="str">
        <f t="shared" si="4"/>
        <v>RK(MegaFlux)2518B040</v>
      </c>
      <c r="B54" s="18" t="s">
        <v>42</v>
      </c>
      <c r="C54" s="18" t="s">
        <v>161</v>
      </c>
      <c r="D54" s="18" t="s">
        <v>97</v>
      </c>
      <c r="E54" s="18" t="str">
        <f t="shared" si="5"/>
        <v>2518B</v>
      </c>
      <c r="F54" s="18" t="str">
        <f t="shared" si="2"/>
        <v>040</v>
      </c>
      <c r="G54" s="18">
        <v>81</v>
      </c>
      <c r="H54" s="165">
        <v>0.02534</v>
      </c>
      <c r="I54" s="166">
        <v>1.52282E-08</v>
      </c>
      <c r="J54" s="166">
        <v>3.5265</v>
      </c>
    </row>
    <row r="55" spans="1:10" ht="18.75" customHeight="1">
      <c r="A55" s="21" t="str">
        <f t="shared" si="4"/>
        <v>RK(MegaFlux)2518B060</v>
      </c>
      <c r="B55" s="18" t="s">
        <v>42</v>
      </c>
      <c r="C55" s="18" t="s">
        <v>162</v>
      </c>
      <c r="D55" s="18" t="s">
        <v>97</v>
      </c>
      <c r="E55" s="18" t="str">
        <f t="shared" si="5"/>
        <v>2518B</v>
      </c>
      <c r="F55" s="18" t="str">
        <f t="shared" si="2"/>
        <v>060</v>
      </c>
      <c r="G55" s="18">
        <v>122</v>
      </c>
      <c r="H55" s="165">
        <v>0.01667</v>
      </c>
      <c r="I55" s="166">
        <v>3.76423E-07</v>
      </c>
      <c r="J55" s="165">
        <v>3.0547</v>
      </c>
    </row>
    <row r="56" spans="1:10" ht="18.75" customHeight="1">
      <c r="A56" s="21" t="str">
        <f t="shared" si="4"/>
        <v>RK(MegaFlux)3020A026</v>
      </c>
      <c r="B56" s="18" t="s">
        <v>42</v>
      </c>
      <c r="C56" s="18" t="s">
        <v>163</v>
      </c>
      <c r="D56" s="18" t="s">
        <v>97</v>
      </c>
      <c r="E56" s="18" t="str">
        <f t="shared" si="5"/>
        <v>3020A</v>
      </c>
      <c r="F56" s="18" t="str">
        <f t="shared" si="2"/>
        <v>026</v>
      </c>
      <c r="G56" s="18">
        <v>64</v>
      </c>
      <c r="H56" s="165">
        <v>0.03861</v>
      </c>
      <c r="I56" s="166">
        <v>8.71756E-08</v>
      </c>
      <c r="J56" s="165">
        <v>2.98839</v>
      </c>
    </row>
    <row r="57" spans="1:10" ht="18.75" customHeight="1">
      <c r="A57" s="21" t="str">
        <f t="shared" si="4"/>
        <v>RK(MegaFlux)3020A040</v>
      </c>
      <c r="B57" s="18" t="s">
        <v>42</v>
      </c>
      <c r="C57" s="18" t="s">
        <v>164</v>
      </c>
      <c r="D57" s="18" t="s">
        <v>97</v>
      </c>
      <c r="E57" s="18" t="str">
        <f t="shared" si="5"/>
        <v>3020A</v>
      </c>
      <c r="F57" s="18" t="str">
        <f t="shared" si="2"/>
        <v>040</v>
      </c>
      <c r="G57" s="18">
        <v>99</v>
      </c>
      <c r="H57" s="165">
        <v>0.02534</v>
      </c>
      <c r="I57" s="166">
        <v>1.52282E-08</v>
      </c>
      <c r="J57" s="166">
        <v>3.5265</v>
      </c>
    </row>
    <row r="58" spans="1:10" ht="18.75" customHeight="1">
      <c r="A58" s="21" t="str">
        <f t="shared" si="4"/>
        <v>RK(MegaFlux)3020A060</v>
      </c>
      <c r="B58" s="18" t="s">
        <v>42</v>
      </c>
      <c r="C58" s="18" t="s">
        <v>165</v>
      </c>
      <c r="D58" s="18" t="s">
        <v>97</v>
      </c>
      <c r="E58" s="18" t="str">
        <f t="shared" si="5"/>
        <v>3020A</v>
      </c>
      <c r="F58" s="18" t="str">
        <f t="shared" si="2"/>
        <v>060</v>
      </c>
      <c r="G58" s="18">
        <v>148</v>
      </c>
      <c r="H58" s="165">
        <v>0.01667</v>
      </c>
      <c r="I58" s="166">
        <v>3.76423E-07</v>
      </c>
      <c r="J58" s="165">
        <v>3.0547</v>
      </c>
    </row>
    <row r="59" spans="1:10" ht="18.75" customHeight="1">
      <c r="A59" s="21" t="str">
        <f t="shared" si="4"/>
        <v>RK(MegaFlux)3020B026</v>
      </c>
      <c r="B59" s="18" t="s">
        <v>42</v>
      </c>
      <c r="C59" s="18" t="s">
        <v>166</v>
      </c>
      <c r="D59" s="18" t="s">
        <v>97</v>
      </c>
      <c r="E59" s="18" t="str">
        <f t="shared" si="5"/>
        <v>3020B</v>
      </c>
      <c r="F59" s="18" t="str">
        <f t="shared" si="2"/>
        <v>026</v>
      </c>
      <c r="G59" s="18">
        <v>54</v>
      </c>
      <c r="H59" s="165">
        <v>0.03861</v>
      </c>
      <c r="I59" s="166">
        <v>8.71756E-08</v>
      </c>
      <c r="J59" s="165">
        <v>2.98839</v>
      </c>
    </row>
    <row r="60" spans="1:10" ht="18.75" customHeight="1">
      <c r="A60" s="21" t="str">
        <f t="shared" si="4"/>
        <v>RK(MegaFlux)3020B040</v>
      </c>
      <c r="B60" s="18" t="s">
        <v>42</v>
      </c>
      <c r="C60" s="18" t="s">
        <v>167</v>
      </c>
      <c r="D60" s="18" t="s">
        <v>97</v>
      </c>
      <c r="E60" s="18" t="str">
        <f t="shared" si="5"/>
        <v>3020B</v>
      </c>
      <c r="F60" s="18" t="str">
        <f t="shared" si="2"/>
        <v>040</v>
      </c>
      <c r="G60" s="18">
        <v>84</v>
      </c>
      <c r="H60" s="165">
        <v>0.02534</v>
      </c>
      <c r="I60" s="166">
        <v>1.52282E-08</v>
      </c>
      <c r="J60" s="166">
        <v>3.5265</v>
      </c>
    </row>
    <row r="61" spans="1:10" ht="18.75" customHeight="1">
      <c r="A61" s="21" t="str">
        <f t="shared" si="4"/>
        <v>RK(MegaFlux)3020B060</v>
      </c>
      <c r="B61" s="18" t="s">
        <v>42</v>
      </c>
      <c r="C61" s="18" t="s">
        <v>168</v>
      </c>
      <c r="D61" s="18" t="s">
        <v>97</v>
      </c>
      <c r="E61" s="18" t="str">
        <f t="shared" si="5"/>
        <v>3020B</v>
      </c>
      <c r="F61" s="18" t="str">
        <f t="shared" si="2"/>
        <v>060</v>
      </c>
      <c r="G61" s="18">
        <v>125</v>
      </c>
      <c r="H61" s="165">
        <v>0.01667</v>
      </c>
      <c r="I61" s="166">
        <v>3.76423E-07</v>
      </c>
      <c r="J61" s="165">
        <v>3.0547</v>
      </c>
    </row>
    <row r="62" spans="1:10" ht="18.75" customHeight="1">
      <c r="A62" s="21" t="str">
        <f t="shared" si="4"/>
        <v>RK(MegaFlux)3222A026</v>
      </c>
      <c r="B62" s="18" t="s">
        <v>42</v>
      </c>
      <c r="C62" s="18" t="s">
        <v>169</v>
      </c>
      <c r="D62" s="18" t="s">
        <v>97</v>
      </c>
      <c r="E62" s="18" t="str">
        <f t="shared" si="5"/>
        <v>3222A</v>
      </c>
      <c r="F62" s="18" t="str">
        <f t="shared" si="2"/>
        <v>026</v>
      </c>
      <c r="G62" s="18">
        <v>75</v>
      </c>
      <c r="H62" s="165">
        <v>0.03861</v>
      </c>
      <c r="I62" s="166">
        <v>8.71756E-08</v>
      </c>
      <c r="J62" s="165">
        <v>2.98839</v>
      </c>
    </row>
    <row r="63" spans="1:10" ht="18.75" customHeight="1">
      <c r="A63" s="21" t="str">
        <f t="shared" si="4"/>
        <v>RK(MegaFlux)3222A040</v>
      </c>
      <c r="B63" s="18" t="s">
        <v>42</v>
      </c>
      <c r="C63" s="18" t="s">
        <v>170</v>
      </c>
      <c r="D63" s="18" t="s">
        <v>97</v>
      </c>
      <c r="E63" s="18" t="str">
        <f t="shared" si="5"/>
        <v>3222A</v>
      </c>
      <c r="F63" s="18" t="str">
        <f t="shared" si="2"/>
        <v>040</v>
      </c>
      <c r="G63" s="18">
        <v>115</v>
      </c>
      <c r="H63" s="165">
        <v>0.02534</v>
      </c>
      <c r="I63" s="166">
        <v>1.52282E-08</v>
      </c>
      <c r="J63" s="166">
        <v>3.5265</v>
      </c>
    </row>
    <row r="64" spans="1:10" ht="18.75" customHeight="1">
      <c r="A64" s="21" t="str">
        <f t="shared" si="4"/>
        <v>RK(MegaFlux)3222A060</v>
      </c>
      <c r="B64" s="18" t="s">
        <v>42</v>
      </c>
      <c r="C64" s="18" t="s">
        <v>171</v>
      </c>
      <c r="D64" s="18" t="s">
        <v>97</v>
      </c>
      <c r="E64" s="18" t="str">
        <f t="shared" si="5"/>
        <v>3222A</v>
      </c>
      <c r="F64" s="18" t="str">
        <f t="shared" si="2"/>
        <v>060</v>
      </c>
      <c r="G64" s="18">
        <v>172</v>
      </c>
      <c r="H64" s="165">
        <v>0.01667</v>
      </c>
      <c r="I64" s="166">
        <v>3.76423E-07</v>
      </c>
      <c r="J64" s="165">
        <v>3.0547</v>
      </c>
    </row>
    <row r="65" spans="1:10" ht="18.75" customHeight="1">
      <c r="A65" s="21" t="str">
        <f t="shared" si="4"/>
        <v>RK(MegaFlux)3222B026</v>
      </c>
      <c r="B65" s="18" t="s">
        <v>42</v>
      </c>
      <c r="C65" s="18" t="s">
        <v>172</v>
      </c>
      <c r="D65" s="18" t="s">
        <v>97</v>
      </c>
      <c r="E65" s="18" t="str">
        <f t="shared" si="5"/>
        <v>3222B</v>
      </c>
      <c r="F65" s="18" t="str">
        <f t="shared" si="2"/>
        <v>026</v>
      </c>
      <c r="G65" s="18">
        <v>62</v>
      </c>
      <c r="H65" s="165">
        <v>0.03861</v>
      </c>
      <c r="I65" s="166">
        <v>8.71756E-08</v>
      </c>
      <c r="J65" s="165">
        <v>2.98839</v>
      </c>
    </row>
    <row r="66" spans="1:11" ht="18.75" customHeight="1">
      <c r="A66" s="21" t="str">
        <f t="shared" si="4"/>
        <v>RK(MegaFlux)3222B040</v>
      </c>
      <c r="B66" s="18" t="s">
        <v>42</v>
      </c>
      <c r="C66" s="18" t="s">
        <v>173</v>
      </c>
      <c r="D66" s="18" t="s">
        <v>97</v>
      </c>
      <c r="E66" s="18" t="str">
        <f t="shared" si="5"/>
        <v>3222B</v>
      </c>
      <c r="F66" s="18" t="str">
        <f t="shared" si="2"/>
        <v>040</v>
      </c>
      <c r="G66" s="18">
        <v>96</v>
      </c>
      <c r="H66" s="165">
        <v>0.02534</v>
      </c>
      <c r="I66" s="166">
        <v>1.52282E-08</v>
      </c>
      <c r="J66" s="166">
        <v>3.5265</v>
      </c>
      <c r="K66" s="138"/>
    </row>
    <row r="67" spans="1:12" ht="18.75" customHeight="1">
      <c r="A67" s="21" t="str">
        <f t="shared" si="4"/>
        <v>RK(MegaFlux)3222B060</v>
      </c>
      <c r="B67" s="18" t="s">
        <v>42</v>
      </c>
      <c r="C67" s="18" t="s">
        <v>174</v>
      </c>
      <c r="D67" s="18" t="s">
        <v>97</v>
      </c>
      <c r="E67" s="18" t="str">
        <f t="shared" si="5"/>
        <v>3222B</v>
      </c>
      <c r="F67" s="18" t="str">
        <f t="shared" si="2"/>
        <v>060</v>
      </c>
      <c r="G67" s="18">
        <v>144</v>
      </c>
      <c r="H67" s="165">
        <v>0.01667</v>
      </c>
      <c r="I67" s="166">
        <v>3.76423E-07</v>
      </c>
      <c r="J67" s="165">
        <v>3.0547</v>
      </c>
      <c r="L67" s="138"/>
    </row>
    <row r="68" spans="1:10" ht="18.75" customHeight="1">
      <c r="A68" s="21" t="str">
        <f t="shared" si="4"/>
        <v>RK(MegaFlux)3222C026</v>
      </c>
      <c r="B68" s="18" t="s">
        <v>42</v>
      </c>
      <c r="C68" s="18" t="s">
        <v>175</v>
      </c>
      <c r="D68" s="18" t="s">
        <v>97</v>
      </c>
      <c r="E68" s="18" t="str">
        <f t="shared" si="5"/>
        <v>3222C</v>
      </c>
      <c r="F68" s="18" t="str">
        <f t="shared" si="2"/>
        <v>026</v>
      </c>
      <c r="G68" s="18">
        <v>57</v>
      </c>
      <c r="H68" s="165">
        <v>0.03861</v>
      </c>
      <c r="I68" s="166">
        <v>8.71756E-08</v>
      </c>
      <c r="J68" s="165">
        <v>2.98839</v>
      </c>
    </row>
    <row r="69" spans="1:10" ht="18.75" customHeight="1">
      <c r="A69" s="21" t="str">
        <f t="shared" si="4"/>
        <v>RK(MegaFlux)3222C040</v>
      </c>
      <c r="B69" s="18" t="s">
        <v>42</v>
      </c>
      <c r="C69" s="18" t="s">
        <v>176</v>
      </c>
      <c r="D69" s="18" t="s">
        <v>97</v>
      </c>
      <c r="E69" s="18" t="str">
        <f t="shared" si="5"/>
        <v>3222C</v>
      </c>
      <c r="F69" s="18" t="str">
        <f t="shared" si="2"/>
        <v>040</v>
      </c>
      <c r="G69" s="18">
        <v>88</v>
      </c>
      <c r="H69" s="165">
        <v>0.02534</v>
      </c>
      <c r="I69" s="166">
        <v>1.52282E-08</v>
      </c>
      <c r="J69" s="166">
        <v>3.5265</v>
      </c>
    </row>
    <row r="70" spans="1:12" ht="18.75" customHeight="1">
      <c r="A70" s="21" t="str">
        <f t="shared" si="4"/>
        <v>RK(MegaFlux)3222C060</v>
      </c>
      <c r="B70" s="18" t="s">
        <v>42</v>
      </c>
      <c r="C70" s="18" t="s">
        <v>177</v>
      </c>
      <c r="D70" s="18" t="s">
        <v>97</v>
      </c>
      <c r="E70" s="18" t="str">
        <f t="shared" si="5"/>
        <v>3222C</v>
      </c>
      <c r="F70" s="18" t="str">
        <f aca="true" t="shared" si="6" ref="F70:F82">MID(C70,8,3)</f>
        <v>060</v>
      </c>
      <c r="G70" s="18">
        <v>131</v>
      </c>
      <c r="H70" s="165">
        <v>0.01667</v>
      </c>
      <c r="I70" s="166">
        <v>3.76423E-07</v>
      </c>
      <c r="J70" s="165">
        <v>3.0547</v>
      </c>
      <c r="L70" s="138"/>
    </row>
    <row r="71" spans="1:10" ht="18.75" customHeight="1">
      <c r="A71" s="21" t="str">
        <f t="shared" si="4"/>
        <v>RK(MegaFlux)3624A026</v>
      </c>
      <c r="B71" s="18" t="s">
        <v>42</v>
      </c>
      <c r="C71" s="18" t="s">
        <v>178</v>
      </c>
      <c r="D71" s="18" t="s">
        <v>97</v>
      </c>
      <c r="E71" s="18" t="str">
        <f t="shared" si="5"/>
        <v>3624A</v>
      </c>
      <c r="F71" s="18" t="str">
        <f t="shared" si="6"/>
        <v>026</v>
      </c>
      <c r="G71" s="18">
        <v>85</v>
      </c>
      <c r="H71" s="165">
        <v>0.03861</v>
      </c>
      <c r="I71" s="166">
        <v>8.71756E-08</v>
      </c>
      <c r="J71" s="165">
        <v>2.98839</v>
      </c>
    </row>
    <row r="72" spans="1:10" ht="18.75" customHeight="1">
      <c r="A72" s="21" t="str">
        <f t="shared" si="4"/>
        <v>RK(MegaFlux)3624A040</v>
      </c>
      <c r="B72" s="18" t="s">
        <v>42</v>
      </c>
      <c r="C72" s="18" t="s">
        <v>179</v>
      </c>
      <c r="D72" s="18" t="s">
        <v>97</v>
      </c>
      <c r="E72" s="18" t="str">
        <f t="shared" si="5"/>
        <v>3624A</v>
      </c>
      <c r="F72" s="18" t="str">
        <f t="shared" si="6"/>
        <v>040</v>
      </c>
      <c r="G72" s="18">
        <v>131</v>
      </c>
      <c r="H72" s="165">
        <v>0.02534</v>
      </c>
      <c r="I72" s="166">
        <v>1.52282E-08</v>
      </c>
      <c r="J72" s="166">
        <v>3.5265</v>
      </c>
    </row>
    <row r="73" spans="1:12" ht="18.75" customHeight="1">
      <c r="A73" s="21" t="str">
        <f t="shared" si="4"/>
        <v>RK(MegaFlux)3624A060</v>
      </c>
      <c r="B73" s="18" t="s">
        <v>42</v>
      </c>
      <c r="C73" s="18" t="s">
        <v>180</v>
      </c>
      <c r="D73" s="18" t="s">
        <v>97</v>
      </c>
      <c r="E73" s="18" t="str">
        <f t="shared" si="5"/>
        <v>3624A</v>
      </c>
      <c r="F73" s="18" t="str">
        <f t="shared" si="6"/>
        <v>060</v>
      </c>
      <c r="G73" s="18">
        <v>197</v>
      </c>
      <c r="H73" s="165">
        <v>0.01667</v>
      </c>
      <c r="I73" s="166">
        <v>3.76423E-07</v>
      </c>
      <c r="J73" s="165">
        <v>3.0547</v>
      </c>
      <c r="L73" s="138"/>
    </row>
    <row r="74" spans="1:10" ht="18.75" customHeight="1">
      <c r="A74" s="21" t="str">
        <f aca="true" t="shared" si="7" ref="A74:A82">D74&amp;E74&amp;F74</f>
        <v>RK(MegaFlux)3624B026</v>
      </c>
      <c r="B74" s="18" t="s">
        <v>42</v>
      </c>
      <c r="C74" s="18" t="s">
        <v>181</v>
      </c>
      <c r="D74" s="18" t="s">
        <v>97</v>
      </c>
      <c r="E74" s="18" t="str">
        <f t="shared" si="5"/>
        <v>3624B</v>
      </c>
      <c r="F74" s="18" t="str">
        <f t="shared" si="6"/>
        <v>026</v>
      </c>
      <c r="G74" s="18">
        <v>72</v>
      </c>
      <c r="H74" s="165">
        <v>0.03861</v>
      </c>
      <c r="I74" s="166">
        <v>8.71756E-08</v>
      </c>
      <c r="J74" s="165">
        <v>2.98839</v>
      </c>
    </row>
    <row r="75" spans="1:13" ht="18.75" customHeight="1">
      <c r="A75" s="21" t="str">
        <f t="shared" si="7"/>
        <v>RK(MegaFlux)3624B040</v>
      </c>
      <c r="B75" s="18" t="s">
        <v>42</v>
      </c>
      <c r="C75" s="18" t="s">
        <v>182</v>
      </c>
      <c r="D75" s="18" t="s">
        <v>97</v>
      </c>
      <c r="E75" s="18" t="str">
        <f t="shared" si="5"/>
        <v>3624B</v>
      </c>
      <c r="F75" s="18" t="str">
        <f t="shared" si="6"/>
        <v>040</v>
      </c>
      <c r="G75" s="18">
        <v>110</v>
      </c>
      <c r="H75" s="165">
        <v>0.02534</v>
      </c>
      <c r="I75" s="166">
        <v>1.52282E-08</v>
      </c>
      <c r="J75" s="166">
        <v>3.5265</v>
      </c>
      <c r="L75" s="138"/>
      <c r="M75" s="138"/>
    </row>
    <row r="76" spans="1:12" ht="18.75" customHeight="1">
      <c r="A76" s="21" t="str">
        <f t="shared" si="7"/>
        <v>RK(MegaFlux)3624B060</v>
      </c>
      <c r="B76" s="18" t="s">
        <v>42</v>
      </c>
      <c r="C76" s="18" t="s">
        <v>183</v>
      </c>
      <c r="D76" s="18" t="s">
        <v>97</v>
      </c>
      <c r="E76" s="18" t="str">
        <f t="shared" si="5"/>
        <v>3624B</v>
      </c>
      <c r="F76" s="18" t="str">
        <f t="shared" si="6"/>
        <v>060</v>
      </c>
      <c r="G76" s="18">
        <v>166</v>
      </c>
      <c r="H76" s="165">
        <v>0.01667</v>
      </c>
      <c r="I76" s="166">
        <v>3.76423E-07</v>
      </c>
      <c r="J76" s="165">
        <v>3.0547</v>
      </c>
      <c r="L76" s="138"/>
    </row>
    <row r="77" spans="1:10" ht="18.75" customHeight="1">
      <c r="A77" s="21" t="str">
        <f t="shared" si="7"/>
        <v>RK(MegaFlux)4225A026</v>
      </c>
      <c r="B77" s="18" t="s">
        <v>42</v>
      </c>
      <c r="C77" s="18" t="s">
        <v>184</v>
      </c>
      <c r="D77" s="18" t="s">
        <v>97</v>
      </c>
      <c r="E77" s="18" t="str">
        <f t="shared" si="5"/>
        <v>4225A</v>
      </c>
      <c r="F77" s="18" t="str">
        <f t="shared" si="6"/>
        <v>026</v>
      </c>
      <c r="G77" s="18">
        <v>88</v>
      </c>
      <c r="H77" s="165">
        <v>0.03861</v>
      </c>
      <c r="I77" s="166">
        <v>8.71756E-08</v>
      </c>
      <c r="J77" s="165">
        <v>2.98839</v>
      </c>
    </row>
    <row r="78" spans="1:10" ht="18.75" customHeight="1">
      <c r="A78" s="21" t="str">
        <f t="shared" si="7"/>
        <v>RK(MegaFlux)4225A040</v>
      </c>
      <c r="B78" s="18" t="s">
        <v>42</v>
      </c>
      <c r="C78" s="18" t="s">
        <v>185</v>
      </c>
      <c r="D78" s="18" t="s">
        <v>97</v>
      </c>
      <c r="E78" s="18" t="str">
        <f t="shared" si="5"/>
        <v>4225A</v>
      </c>
      <c r="F78" s="18" t="str">
        <f t="shared" si="6"/>
        <v>040</v>
      </c>
      <c r="G78" s="18">
        <v>136</v>
      </c>
      <c r="H78" s="165">
        <v>0.02534</v>
      </c>
      <c r="I78" s="166">
        <v>1.52282E-08</v>
      </c>
      <c r="J78" s="166">
        <v>3.5265</v>
      </c>
    </row>
    <row r="79" spans="1:12" ht="18.75" customHeight="1">
      <c r="A79" s="21" t="str">
        <f t="shared" si="7"/>
        <v>RK(MegaFlux)4225A060</v>
      </c>
      <c r="B79" s="18" t="s">
        <v>42</v>
      </c>
      <c r="C79" s="18" t="s">
        <v>186</v>
      </c>
      <c r="D79" s="18" t="s">
        <v>97</v>
      </c>
      <c r="E79" s="18" t="str">
        <f t="shared" si="5"/>
        <v>4225A</v>
      </c>
      <c r="F79" s="18" t="str">
        <f t="shared" si="6"/>
        <v>060</v>
      </c>
      <c r="G79" s="18">
        <v>204</v>
      </c>
      <c r="H79" s="165">
        <v>0.01667</v>
      </c>
      <c r="I79" s="166">
        <v>3.76423E-07</v>
      </c>
      <c r="J79" s="165">
        <v>3.0547</v>
      </c>
      <c r="L79" s="138"/>
    </row>
    <row r="80" spans="1:10" ht="18.75" customHeight="1">
      <c r="A80" s="21" t="str">
        <f t="shared" si="7"/>
        <v>RK(MegaFlux)4225B026</v>
      </c>
      <c r="B80" s="18" t="s">
        <v>42</v>
      </c>
      <c r="C80" s="18" t="s">
        <v>187</v>
      </c>
      <c r="D80" s="18" t="s">
        <v>97</v>
      </c>
      <c r="E80" s="18" t="str">
        <f t="shared" si="5"/>
        <v>4225B</v>
      </c>
      <c r="F80" s="18" t="str">
        <f t="shared" si="6"/>
        <v>026</v>
      </c>
      <c r="G80" s="18">
        <v>75</v>
      </c>
      <c r="H80" s="165">
        <v>0.03861</v>
      </c>
      <c r="I80" s="166">
        <v>8.71756E-08</v>
      </c>
      <c r="J80" s="165">
        <v>2.98839</v>
      </c>
    </row>
    <row r="81" spans="1:12" ht="18.75" customHeight="1">
      <c r="A81" s="21" t="str">
        <f t="shared" si="7"/>
        <v>RK(MegaFlux)4225B040</v>
      </c>
      <c r="B81" s="18" t="s">
        <v>42</v>
      </c>
      <c r="C81" s="18" t="s">
        <v>188</v>
      </c>
      <c r="D81" s="18" t="s">
        <v>97</v>
      </c>
      <c r="E81" s="18" t="str">
        <f t="shared" si="5"/>
        <v>4225B</v>
      </c>
      <c r="F81" s="18" t="str">
        <f t="shared" si="6"/>
        <v>040</v>
      </c>
      <c r="G81" s="18">
        <v>115</v>
      </c>
      <c r="H81" s="165">
        <v>0.02534</v>
      </c>
      <c r="I81" s="166">
        <v>1.52282E-08</v>
      </c>
      <c r="J81" s="166">
        <v>3.5265</v>
      </c>
      <c r="L81" s="138"/>
    </row>
    <row r="82" spans="1:10" ht="18.75" customHeight="1">
      <c r="A82" s="21" t="str">
        <f t="shared" si="7"/>
        <v>RK(MegaFlux)4225B060</v>
      </c>
      <c r="B82" s="18" t="s">
        <v>42</v>
      </c>
      <c r="C82" s="18" t="s">
        <v>189</v>
      </c>
      <c r="D82" s="18" t="s">
        <v>97</v>
      </c>
      <c r="E82" s="18" t="str">
        <f t="shared" si="5"/>
        <v>4225B</v>
      </c>
      <c r="F82" s="18" t="str">
        <f t="shared" si="6"/>
        <v>060</v>
      </c>
      <c r="G82" s="18">
        <v>172</v>
      </c>
      <c r="H82" s="165">
        <v>0.01667</v>
      </c>
      <c r="I82" s="166">
        <v>3.76423E-07</v>
      </c>
      <c r="J82" s="165">
        <v>3.0547</v>
      </c>
    </row>
    <row r="83" spans="1:10" ht="18.75" customHeight="1">
      <c r="A83" s="21" t="str">
        <f>D83&amp;E83&amp;F83</f>
        <v>RK(MegaFlux)4628A026</v>
      </c>
      <c r="B83" s="18" t="s">
        <v>42</v>
      </c>
      <c r="C83" s="18" t="s">
        <v>344</v>
      </c>
      <c r="D83" s="18" t="s">
        <v>97</v>
      </c>
      <c r="E83" s="18" t="str">
        <f>MID(C83,3,5)</f>
        <v>4628A</v>
      </c>
      <c r="F83" s="18" t="str">
        <f>MID(C83,8,3)</f>
        <v>026</v>
      </c>
      <c r="G83" s="18">
        <v>69</v>
      </c>
      <c r="H83" s="165">
        <v>0.03861</v>
      </c>
      <c r="I83" s="166">
        <v>8.71756E-08</v>
      </c>
      <c r="J83" s="165">
        <v>2.98839</v>
      </c>
    </row>
    <row r="84" spans="1:10" ht="18.75" customHeight="1">
      <c r="A84" s="21" t="str">
        <f>D84&amp;E84&amp;F84</f>
        <v>RK(MegaFlux)4628A040</v>
      </c>
      <c r="B84" s="18" t="s">
        <v>42</v>
      </c>
      <c r="C84" s="18" t="s">
        <v>345</v>
      </c>
      <c r="D84" s="18" t="s">
        <v>97</v>
      </c>
      <c r="E84" s="18" t="str">
        <f>MID(C84,3,5)</f>
        <v>4628A</v>
      </c>
      <c r="F84" s="18" t="str">
        <f>MID(C84,8,3)</f>
        <v>040</v>
      </c>
      <c r="G84" s="18">
        <v>106</v>
      </c>
      <c r="H84" s="165">
        <v>0.02534</v>
      </c>
      <c r="I84" s="166">
        <v>1.52282E-08</v>
      </c>
      <c r="J84" s="166">
        <v>3.5265</v>
      </c>
    </row>
    <row r="85" spans="1:10" ht="18.75" customHeight="1">
      <c r="A85" s="21" t="str">
        <f>D85&amp;E85&amp;F85</f>
        <v>RK(MegaFlux)4628A060</v>
      </c>
      <c r="B85" s="18" t="s">
        <v>42</v>
      </c>
      <c r="C85" s="18" t="s">
        <v>346</v>
      </c>
      <c r="D85" s="18" t="s">
        <v>97</v>
      </c>
      <c r="E85" s="18" t="str">
        <f>MID(C85,3,5)</f>
        <v>4628A</v>
      </c>
      <c r="F85" s="18" t="str">
        <f>MID(C85,8,3)</f>
        <v>060</v>
      </c>
      <c r="G85" s="18">
        <v>159</v>
      </c>
      <c r="H85" s="165">
        <v>0.01667</v>
      </c>
      <c r="I85" s="166">
        <v>3.76423E-07</v>
      </c>
      <c r="J85" s="165">
        <v>3.0547</v>
      </c>
    </row>
    <row r="86" ht="18.75" customHeight="1">
      <c r="A86" s="21"/>
    </row>
    <row r="87" ht="18.75" customHeight="1">
      <c r="A87" s="21"/>
    </row>
    <row r="88" ht="18.75" customHeight="1">
      <c r="A88" s="21"/>
    </row>
    <row r="89" ht="18.75" customHeight="1">
      <c r="A89" s="21"/>
    </row>
    <row r="90" ht="18.75" customHeight="1">
      <c r="A90" s="21"/>
    </row>
    <row r="91" ht="18.75" customHeight="1">
      <c r="A91" s="21"/>
    </row>
    <row r="92" ht="18.75" customHeight="1">
      <c r="A92" s="21"/>
    </row>
    <row r="93" ht="18.75" customHeight="1">
      <c r="A93" s="21"/>
    </row>
    <row r="94" ht="18.75" customHeight="1">
      <c r="A94" s="21"/>
    </row>
    <row r="95" ht="18.75" customHeight="1">
      <c r="A95" s="21"/>
    </row>
    <row r="96" ht="18.75" customHeight="1">
      <c r="A96" s="21"/>
    </row>
    <row r="97" ht="18.75" customHeight="1">
      <c r="A97" s="21"/>
    </row>
    <row r="98" ht="18.75" customHeight="1">
      <c r="A98" s="21"/>
    </row>
    <row r="99" ht="18.75" customHeight="1">
      <c r="A99" s="21"/>
    </row>
    <row r="100" ht="18.75" customHeight="1">
      <c r="A100" s="21"/>
    </row>
    <row r="101" ht="18.75" customHeight="1">
      <c r="A101" s="21"/>
    </row>
    <row r="102" ht="18.75" customHeight="1">
      <c r="A102" s="21"/>
    </row>
    <row r="103" ht="18.75" customHeight="1">
      <c r="A103" s="21"/>
    </row>
    <row r="104" ht="18.75" customHeight="1">
      <c r="A104" s="21"/>
    </row>
    <row r="105" ht="18.75" customHeight="1">
      <c r="A105" s="21"/>
    </row>
    <row r="106" ht="18.75" customHeight="1">
      <c r="A106" s="21"/>
    </row>
    <row r="107" ht="18.75" customHeight="1">
      <c r="A107" s="21"/>
    </row>
    <row r="108" ht="18.75" customHeight="1">
      <c r="A108" s="21"/>
    </row>
    <row r="109" ht="18.75" customHeight="1">
      <c r="A109" s="21"/>
    </row>
    <row r="110" ht="18.75" customHeight="1">
      <c r="A110" s="21"/>
    </row>
    <row r="111" ht="18.75" customHeight="1">
      <c r="A111" s="21"/>
    </row>
    <row r="112" ht="18.75" customHeight="1">
      <c r="A112" s="21"/>
    </row>
    <row r="113" ht="18.75" customHeight="1">
      <c r="A113" s="21"/>
    </row>
    <row r="114" ht="18.75" customHeight="1">
      <c r="A114" s="21"/>
    </row>
    <row r="115" ht="18.75" customHeight="1">
      <c r="A115" s="21"/>
    </row>
    <row r="116" ht="18.75" customHeight="1">
      <c r="A116" s="21"/>
    </row>
    <row r="117" ht="18.75" customHeight="1">
      <c r="A117" s="21"/>
    </row>
    <row r="118" ht="18.75" customHeight="1">
      <c r="A118" s="21"/>
    </row>
    <row r="119" ht="18.75" customHeight="1">
      <c r="A119" s="21"/>
    </row>
    <row r="120" ht="18.75" customHeight="1">
      <c r="A120" s="21"/>
    </row>
    <row r="121" ht="18.75" customHeight="1">
      <c r="A121" s="21"/>
    </row>
    <row r="122" ht="18.75" customHeight="1">
      <c r="A122" s="21"/>
    </row>
    <row r="123" ht="18.75" customHeight="1">
      <c r="A123" s="21"/>
    </row>
    <row r="124" ht="18.75" customHeight="1">
      <c r="A124" s="21"/>
    </row>
    <row r="125" ht="18.75" customHeight="1">
      <c r="A125" s="21"/>
    </row>
    <row r="126" ht="18.75" customHeight="1">
      <c r="A126" s="21"/>
    </row>
    <row r="127" ht="18.75" customHeight="1">
      <c r="A127" s="21"/>
    </row>
    <row r="128" ht="18.75" customHeight="1">
      <c r="A128" s="21"/>
    </row>
    <row r="129" ht="18.75" customHeight="1">
      <c r="A129" s="21"/>
    </row>
    <row r="130" ht="18.75" customHeight="1">
      <c r="A130" s="21"/>
    </row>
    <row r="131" ht="18.75" customHeight="1">
      <c r="A131" s="21"/>
    </row>
    <row r="132" ht="18.75" customHeight="1">
      <c r="A132" s="21"/>
    </row>
    <row r="133" ht="18.75" customHeight="1">
      <c r="A133" s="21"/>
    </row>
    <row r="134" ht="18.75" customHeight="1">
      <c r="A134" s="21"/>
    </row>
    <row r="135" ht="18.75" customHeight="1">
      <c r="A135" s="21"/>
    </row>
    <row r="136" ht="18.75" customHeight="1">
      <c r="A136" s="21"/>
    </row>
    <row r="137" ht="18.75" customHeight="1">
      <c r="A137" s="21"/>
    </row>
    <row r="138" ht="18.75" customHeight="1">
      <c r="A138" s="21"/>
    </row>
    <row r="139" ht="18.75" customHeight="1">
      <c r="A139" s="21"/>
    </row>
    <row r="140" ht="18.75" customHeight="1">
      <c r="A140" s="21"/>
    </row>
    <row r="141" ht="18.75" customHeight="1">
      <c r="A141" s="21"/>
    </row>
    <row r="142" ht="18.75" customHeight="1">
      <c r="A142" s="21"/>
    </row>
    <row r="143" ht="18.75" customHeight="1">
      <c r="A143" s="21"/>
    </row>
    <row r="144" ht="18.75" customHeight="1">
      <c r="A144" s="21"/>
    </row>
    <row r="145" ht="18.75" customHeight="1">
      <c r="A145" s="21"/>
    </row>
    <row r="146" ht="18.75" customHeight="1">
      <c r="A146" s="21"/>
    </row>
    <row r="147" ht="18.75" customHeight="1">
      <c r="A147" s="21"/>
    </row>
    <row r="148" ht="18.75" customHeight="1">
      <c r="A148" s="21"/>
    </row>
    <row r="149" ht="18.75" customHeight="1">
      <c r="A149" s="21"/>
    </row>
    <row r="150" ht="18.75" customHeight="1">
      <c r="A150" s="21"/>
    </row>
    <row r="151" ht="18.75" customHeight="1">
      <c r="A151" s="21"/>
    </row>
    <row r="152" ht="18.75" customHeight="1">
      <c r="A152" s="21"/>
    </row>
    <row r="153" ht="18.75" customHeight="1">
      <c r="A153" s="21"/>
    </row>
    <row r="154" ht="18.75" customHeight="1">
      <c r="A154" s="21"/>
    </row>
    <row r="155" ht="18.75" customHeight="1">
      <c r="A155" s="21"/>
    </row>
    <row r="156" ht="18.75" customHeight="1">
      <c r="A156" s="21"/>
    </row>
    <row r="157" ht="18.75" customHeight="1">
      <c r="A157" s="21"/>
    </row>
    <row r="158" ht="18.75" customHeight="1">
      <c r="A158" s="21"/>
    </row>
    <row r="159" ht="18.75" customHeight="1">
      <c r="A159" s="21"/>
    </row>
    <row r="160" ht="18.75" customHeight="1">
      <c r="A160" s="21"/>
    </row>
    <row r="161" ht="18.75" customHeight="1">
      <c r="A161" s="21"/>
    </row>
    <row r="162" ht="18.75" customHeight="1">
      <c r="A162" s="21"/>
    </row>
    <row r="163" ht="18.75" customHeight="1">
      <c r="A163" s="21"/>
    </row>
    <row r="164" ht="18.75" customHeight="1">
      <c r="A164" s="21"/>
    </row>
    <row r="165" ht="18.75" customHeight="1">
      <c r="A165" s="21"/>
    </row>
    <row r="166" ht="18.75" customHeight="1">
      <c r="A166" s="21"/>
    </row>
    <row r="167" ht="18.75" customHeight="1">
      <c r="A167" s="21"/>
    </row>
    <row r="168" ht="18.75" customHeight="1">
      <c r="A168" s="21"/>
    </row>
    <row r="169" ht="18.75" customHeight="1">
      <c r="A169" s="21"/>
    </row>
    <row r="170" ht="18.75" customHeight="1">
      <c r="A170" s="21"/>
    </row>
    <row r="171" ht="18.75" customHeight="1">
      <c r="A171" s="21"/>
    </row>
    <row r="172" ht="18.75" customHeight="1">
      <c r="A172" s="21"/>
    </row>
    <row r="173" ht="18.75" customHeight="1">
      <c r="A173" s="21"/>
    </row>
    <row r="174" ht="18.75" customHeight="1">
      <c r="A174" s="21"/>
    </row>
    <row r="175" ht="18.75" customHeight="1">
      <c r="A175" s="21"/>
    </row>
    <row r="176" ht="18.75" customHeight="1">
      <c r="A176" s="21"/>
    </row>
    <row r="177" ht="18.75" customHeight="1">
      <c r="A177" s="21"/>
    </row>
    <row r="178" ht="18.75" customHeight="1">
      <c r="A178" s="21"/>
    </row>
    <row r="179" ht="18.75" customHeight="1">
      <c r="A179" s="21"/>
    </row>
    <row r="180" ht="18.75" customHeight="1">
      <c r="A180" s="21"/>
    </row>
    <row r="181" ht="18.75" customHeight="1">
      <c r="A181" s="21"/>
    </row>
    <row r="182" ht="18.75" customHeight="1">
      <c r="A182" s="21"/>
    </row>
    <row r="183" ht="18.75" customHeight="1">
      <c r="A183" s="21"/>
    </row>
    <row r="184" ht="18.75" customHeight="1">
      <c r="A184" s="21"/>
    </row>
    <row r="185" ht="18.75" customHeight="1">
      <c r="A185" s="21"/>
    </row>
    <row r="186" ht="18.75" customHeight="1">
      <c r="A186" s="21"/>
    </row>
    <row r="187" ht="18.75" customHeight="1">
      <c r="A187" s="21"/>
    </row>
    <row r="188" ht="18.75" customHeight="1">
      <c r="A188" s="21"/>
    </row>
    <row r="189" ht="18.75" customHeight="1">
      <c r="A189" s="21"/>
    </row>
    <row r="190" ht="18.75" customHeight="1">
      <c r="A190" s="21"/>
    </row>
    <row r="191" ht="18.75" customHeight="1">
      <c r="A191" s="21"/>
    </row>
    <row r="192" ht="18.75" customHeight="1">
      <c r="A192" s="21"/>
    </row>
    <row r="193" ht="18.75" customHeight="1">
      <c r="A193" s="21"/>
    </row>
    <row r="194" ht="18.75" customHeight="1">
      <c r="A194" s="21"/>
    </row>
    <row r="195" ht="18.75" customHeight="1">
      <c r="A195" s="21"/>
    </row>
    <row r="196" ht="18.75" customHeight="1">
      <c r="A196" s="21"/>
    </row>
    <row r="197" ht="18.75" customHeight="1">
      <c r="A197" s="21"/>
    </row>
    <row r="198" ht="18.75" customHeight="1">
      <c r="A198" s="21"/>
    </row>
    <row r="199" ht="18.75" customHeight="1">
      <c r="A199" s="21"/>
    </row>
    <row r="200" ht="18.75" customHeight="1">
      <c r="A200" s="21"/>
    </row>
    <row r="201" ht="18.75" customHeight="1">
      <c r="A201" s="21"/>
    </row>
    <row r="202" ht="18.75" customHeight="1">
      <c r="A202" s="21"/>
    </row>
    <row r="203" ht="18.75" customHeight="1">
      <c r="A203" s="21"/>
    </row>
    <row r="204" ht="18.75" customHeight="1">
      <c r="A204" s="21"/>
    </row>
    <row r="205" ht="18.75" customHeight="1">
      <c r="A205" s="21"/>
    </row>
    <row r="206" ht="18.75" customHeight="1">
      <c r="A206" s="21"/>
    </row>
    <row r="207" ht="18.75" customHeight="1">
      <c r="A207" s="21"/>
    </row>
    <row r="208" ht="18.75" customHeight="1">
      <c r="A208" s="21"/>
    </row>
    <row r="209" ht="18.75" customHeight="1">
      <c r="A209" s="21"/>
    </row>
    <row r="210" ht="18.75" customHeight="1">
      <c r="A210" s="21"/>
    </row>
    <row r="211" ht="18.75" customHeight="1">
      <c r="A211" s="21"/>
    </row>
    <row r="212" ht="18.75" customHeight="1">
      <c r="A212" s="21"/>
    </row>
    <row r="213" ht="18.75" customHeight="1">
      <c r="A213" s="21"/>
    </row>
    <row r="214" ht="18.75" customHeight="1">
      <c r="A214" s="21"/>
    </row>
    <row r="215" ht="18.75" customHeight="1">
      <c r="A215" s="21"/>
    </row>
    <row r="216" ht="18.75" customHeight="1">
      <c r="A216" s="21"/>
    </row>
    <row r="217" ht="18.75" customHeight="1">
      <c r="A217" s="21"/>
    </row>
    <row r="218" ht="18.75" customHeight="1">
      <c r="A218" s="21"/>
    </row>
    <row r="219" ht="18.75" customHeight="1">
      <c r="A219" s="21"/>
    </row>
    <row r="220" ht="18.75" customHeight="1">
      <c r="A220" s="21"/>
    </row>
    <row r="221" ht="18.75" customHeight="1">
      <c r="A221" s="21"/>
    </row>
    <row r="222" ht="18.75" customHeight="1">
      <c r="A222" s="21"/>
    </row>
    <row r="223" ht="18.75" customHeight="1">
      <c r="A223" s="21"/>
    </row>
    <row r="224" ht="18.75" customHeight="1">
      <c r="A224" s="21"/>
    </row>
    <row r="225" ht="18.75" customHeight="1">
      <c r="A225" s="21"/>
    </row>
    <row r="226" ht="18.75" customHeight="1">
      <c r="A226" s="21"/>
    </row>
    <row r="227" ht="18.75" customHeight="1">
      <c r="A227" s="21"/>
    </row>
    <row r="228" ht="18.75" customHeight="1">
      <c r="A228" s="21"/>
    </row>
    <row r="229" ht="18.75" customHeight="1">
      <c r="A229" s="21"/>
    </row>
    <row r="230" ht="18.75" customHeight="1">
      <c r="A230" s="21"/>
    </row>
    <row r="231" ht="18.75" customHeight="1">
      <c r="A231" s="21"/>
    </row>
    <row r="232" ht="18.75" customHeight="1">
      <c r="A232" s="21"/>
    </row>
    <row r="233" ht="18.75" customHeight="1">
      <c r="A233" s="21"/>
    </row>
    <row r="234" ht="18.75" customHeight="1">
      <c r="A234" s="21"/>
    </row>
    <row r="235" ht="18.75" customHeight="1">
      <c r="A235" s="21"/>
    </row>
    <row r="236" ht="18.75" customHeight="1">
      <c r="A236" s="21"/>
    </row>
    <row r="237" ht="18.75" customHeight="1">
      <c r="A237" s="21"/>
    </row>
    <row r="238" ht="18.75" customHeight="1">
      <c r="A238" s="21"/>
    </row>
    <row r="239" ht="18.75" customHeight="1">
      <c r="A239" s="21"/>
    </row>
    <row r="240" ht="18.75" customHeight="1">
      <c r="A240" s="21"/>
    </row>
    <row r="241" ht="18.75" customHeight="1">
      <c r="A241" s="21"/>
    </row>
    <row r="242" ht="18.75" customHeight="1">
      <c r="A242" s="21"/>
    </row>
    <row r="243" ht="18.75" customHeight="1">
      <c r="A243" s="21"/>
    </row>
    <row r="244" ht="18.75" customHeight="1">
      <c r="A244" s="21"/>
    </row>
    <row r="245" ht="18.75" customHeight="1">
      <c r="A245" s="21"/>
    </row>
    <row r="246" ht="18.75" customHeight="1">
      <c r="A246" s="21"/>
    </row>
    <row r="247" ht="18.75" customHeight="1">
      <c r="A247" s="21"/>
    </row>
    <row r="248" ht="18.75" customHeight="1">
      <c r="A248" s="21"/>
    </row>
    <row r="249" ht="18.75" customHeight="1">
      <c r="A249" s="21"/>
    </row>
    <row r="250" ht="18.75" customHeight="1">
      <c r="A250" s="21"/>
    </row>
    <row r="251" ht="18.75" customHeight="1">
      <c r="A251" s="21"/>
    </row>
    <row r="252" ht="18.75" customHeight="1">
      <c r="A252" s="21"/>
    </row>
    <row r="253" ht="18.75" customHeight="1">
      <c r="A253" s="21"/>
    </row>
    <row r="254" ht="18.75" customHeight="1">
      <c r="A254" s="21"/>
    </row>
    <row r="255" ht="18.75" customHeight="1">
      <c r="A255" s="21"/>
    </row>
    <row r="256" ht="18.75" customHeight="1">
      <c r="A256" s="21"/>
    </row>
    <row r="257" ht="18.75" customHeight="1">
      <c r="A257" s="21"/>
    </row>
    <row r="258" ht="18.75" customHeight="1">
      <c r="A258" s="21"/>
    </row>
    <row r="259" ht="18.75" customHeight="1">
      <c r="A259" s="21"/>
    </row>
    <row r="260" ht="18.75" customHeight="1">
      <c r="A260" s="21"/>
    </row>
    <row r="261" ht="18.75" customHeight="1">
      <c r="A261" s="21"/>
    </row>
    <row r="262" ht="18.75" customHeight="1">
      <c r="A262" s="21"/>
    </row>
    <row r="263" ht="18.75" customHeight="1">
      <c r="A263" s="21"/>
    </row>
    <row r="264" ht="18.75" customHeight="1">
      <c r="A264" s="21"/>
    </row>
    <row r="265" ht="18.75" customHeight="1">
      <c r="A265" s="21"/>
    </row>
    <row r="266" ht="18.75" customHeight="1">
      <c r="A266" s="21"/>
    </row>
    <row r="267" ht="18.75" customHeight="1">
      <c r="A267" s="21"/>
    </row>
    <row r="268" ht="18.75" customHeight="1">
      <c r="A268" s="21"/>
    </row>
    <row r="269" ht="18.75" customHeight="1">
      <c r="A269" s="21"/>
    </row>
    <row r="270" ht="18.75" customHeight="1">
      <c r="A270" s="21"/>
    </row>
    <row r="271" ht="18.75" customHeight="1">
      <c r="A271" s="21"/>
    </row>
    <row r="272" ht="18.75" customHeight="1">
      <c r="A272" s="21"/>
    </row>
    <row r="273" ht="18.75" customHeight="1">
      <c r="A273" s="21"/>
    </row>
    <row r="274" ht="18.75" customHeight="1">
      <c r="A274" s="21"/>
    </row>
    <row r="275" ht="18.75" customHeight="1">
      <c r="A275" s="21"/>
    </row>
    <row r="276" ht="18.75" customHeight="1">
      <c r="A276" s="21"/>
    </row>
    <row r="277" ht="18.75" customHeight="1">
      <c r="A277" s="21"/>
    </row>
    <row r="278" ht="18.75" customHeight="1">
      <c r="A278" s="21"/>
    </row>
    <row r="279" ht="18.75" customHeight="1">
      <c r="A279" s="21"/>
    </row>
    <row r="280" ht="18.75" customHeight="1">
      <c r="A280" s="21"/>
    </row>
    <row r="281" ht="18.75" customHeight="1">
      <c r="A281" s="21"/>
    </row>
    <row r="282" ht="18.75" customHeight="1">
      <c r="A282" s="21"/>
    </row>
    <row r="283" ht="18.75" customHeight="1">
      <c r="A283" s="21"/>
    </row>
    <row r="284" ht="18.75" customHeight="1">
      <c r="A284" s="21"/>
    </row>
    <row r="285" ht="18.75" customHeight="1">
      <c r="A285" s="21"/>
    </row>
    <row r="286" ht="18.75" customHeight="1">
      <c r="A286" s="21"/>
    </row>
    <row r="287" ht="18.75" customHeight="1">
      <c r="A287" s="21"/>
    </row>
    <row r="288" ht="18.75" customHeight="1">
      <c r="A288" s="21"/>
    </row>
    <row r="289" ht="18.75" customHeight="1">
      <c r="A289" s="21"/>
    </row>
    <row r="290" ht="18.75" customHeight="1">
      <c r="A290" s="21"/>
    </row>
    <row r="291" ht="18.75" customHeight="1">
      <c r="A291" s="21"/>
    </row>
    <row r="292" ht="18.75" customHeight="1">
      <c r="A292" s="21"/>
    </row>
    <row r="293" ht="18.75" customHeight="1">
      <c r="A293" s="21"/>
    </row>
    <row r="294" ht="18.75" customHeight="1">
      <c r="A294" s="21"/>
    </row>
    <row r="295" ht="18.75" customHeight="1">
      <c r="A295" s="21"/>
    </row>
    <row r="296" ht="18.75" customHeight="1">
      <c r="A296" s="21"/>
    </row>
    <row r="297" ht="18.75" customHeight="1">
      <c r="A297" s="21"/>
    </row>
    <row r="298" ht="18.75" customHeight="1">
      <c r="A298" s="21"/>
    </row>
    <row r="299" ht="18.75" customHeight="1">
      <c r="A299" s="21"/>
    </row>
    <row r="300" ht="18.75" customHeight="1">
      <c r="A300" s="21"/>
    </row>
    <row r="301" ht="18.75" customHeight="1">
      <c r="A301" s="21"/>
    </row>
    <row r="302" ht="18.75" customHeight="1">
      <c r="A302" s="21"/>
    </row>
    <row r="303" ht="18.75" customHeight="1">
      <c r="A303" s="21"/>
    </row>
    <row r="304" ht="18.75" customHeight="1">
      <c r="A304" s="21"/>
    </row>
    <row r="305" ht="18.75" customHeight="1">
      <c r="A305" s="21"/>
    </row>
    <row r="306" ht="18.75" customHeight="1">
      <c r="A306" s="21"/>
    </row>
    <row r="307" ht="18.75" customHeight="1">
      <c r="A307" s="21"/>
    </row>
    <row r="308" ht="18.75" customHeight="1">
      <c r="A308" s="21"/>
    </row>
    <row r="309" ht="18.75" customHeight="1">
      <c r="A309" s="21"/>
    </row>
    <row r="310" ht="18.75" customHeight="1">
      <c r="A310" s="21"/>
    </row>
    <row r="311" ht="18.75" customHeight="1">
      <c r="A311" s="21"/>
    </row>
    <row r="312" ht="18.75" customHeight="1">
      <c r="A312" s="21"/>
    </row>
    <row r="313" ht="18.75" customHeight="1">
      <c r="A313" s="21"/>
    </row>
    <row r="314" ht="18.75" customHeight="1">
      <c r="A314" s="21"/>
    </row>
    <row r="315" ht="18.75" customHeight="1">
      <c r="A315" s="21"/>
    </row>
    <row r="316" ht="18.75" customHeight="1">
      <c r="A316" s="21"/>
    </row>
    <row r="317" ht="18.75" customHeight="1">
      <c r="A317" s="21"/>
    </row>
    <row r="318" ht="18.75" customHeight="1">
      <c r="A318" s="21"/>
    </row>
    <row r="319" ht="18.75" customHeight="1">
      <c r="A319" s="21"/>
    </row>
    <row r="320" ht="18.75" customHeight="1">
      <c r="A320" s="21"/>
    </row>
    <row r="321" ht="18.75" customHeight="1">
      <c r="A321" s="21"/>
    </row>
    <row r="322" ht="18.75" customHeight="1">
      <c r="A322" s="21"/>
    </row>
    <row r="323" ht="18.75" customHeight="1">
      <c r="A323" s="21"/>
    </row>
    <row r="324" ht="18.75" customHeight="1">
      <c r="A324" s="21"/>
    </row>
    <row r="325" ht="18.75" customHeight="1">
      <c r="A325" s="21"/>
    </row>
    <row r="326" ht="18.75" customHeight="1">
      <c r="A326" s="21"/>
    </row>
    <row r="327" ht="18.75" customHeight="1">
      <c r="A327" s="21"/>
    </row>
    <row r="328" ht="18.75" customHeight="1">
      <c r="A328" s="21"/>
    </row>
    <row r="329" ht="18.75" customHeight="1">
      <c r="A329" s="21"/>
    </row>
    <row r="330" ht="18.75" customHeight="1">
      <c r="A330" s="21"/>
    </row>
    <row r="331" ht="18.75" customHeight="1">
      <c r="A331" s="21"/>
    </row>
    <row r="332" ht="18.75" customHeight="1">
      <c r="A332" s="21"/>
    </row>
    <row r="333" ht="18.75" customHeight="1">
      <c r="A333" s="21"/>
    </row>
    <row r="334" ht="18.75" customHeight="1">
      <c r="A334" s="21"/>
    </row>
    <row r="335" ht="18.75" customHeight="1">
      <c r="A335" s="21"/>
    </row>
    <row r="336" ht="18.75" customHeight="1">
      <c r="A336" s="21"/>
    </row>
    <row r="337" ht="18.75" customHeight="1">
      <c r="A337" s="21"/>
    </row>
    <row r="338" ht="18.75" customHeight="1">
      <c r="A338" s="21"/>
    </row>
    <row r="339" ht="18.75" customHeight="1">
      <c r="A339" s="21"/>
    </row>
    <row r="340" ht="18.75" customHeight="1">
      <c r="A340" s="21"/>
    </row>
    <row r="341" ht="18.75" customHeight="1">
      <c r="A341" s="21"/>
    </row>
    <row r="342" ht="18.75" customHeight="1">
      <c r="A342" s="21"/>
    </row>
    <row r="343" ht="18.75" customHeight="1">
      <c r="A343" s="21"/>
    </row>
    <row r="344" ht="18.75" customHeight="1">
      <c r="A344" s="21"/>
    </row>
    <row r="345" ht="18.75" customHeight="1">
      <c r="A345" s="21"/>
    </row>
    <row r="346" ht="18.75" customHeight="1">
      <c r="A346" s="21"/>
    </row>
    <row r="347" ht="18.75" customHeight="1">
      <c r="A347" s="21"/>
    </row>
    <row r="348" ht="18.75" customHeight="1">
      <c r="A348" s="21"/>
    </row>
    <row r="349" ht="18.75" customHeight="1">
      <c r="A349" s="21"/>
    </row>
    <row r="350" ht="18.75" customHeight="1">
      <c r="A350" s="21"/>
    </row>
    <row r="351" ht="18.75" customHeight="1">
      <c r="A351" s="21"/>
    </row>
    <row r="352" ht="18.75" customHeight="1">
      <c r="A352" s="21"/>
    </row>
    <row r="353" ht="18.75" customHeight="1">
      <c r="A353" s="21"/>
    </row>
    <row r="354" ht="18.75" customHeight="1">
      <c r="A354" s="21"/>
    </row>
    <row r="355" ht="18.75" customHeight="1">
      <c r="A355" s="21"/>
    </row>
    <row r="356" ht="18.75" customHeight="1">
      <c r="A356" s="21"/>
    </row>
    <row r="357" ht="18.75" customHeight="1">
      <c r="A357" s="21"/>
    </row>
    <row r="358" ht="18.75" customHeight="1">
      <c r="A358" s="21"/>
    </row>
    <row r="359" ht="18.75" customHeight="1">
      <c r="A359" s="21"/>
    </row>
    <row r="360" ht="18.75" customHeight="1">
      <c r="A360" s="21"/>
    </row>
    <row r="361" ht="18.75" customHeight="1">
      <c r="A361" s="21"/>
    </row>
    <row r="362" ht="18.75" customHeight="1">
      <c r="A362" s="21"/>
    </row>
    <row r="363" ht="18.75" customHeight="1">
      <c r="A363" s="21"/>
    </row>
    <row r="364" ht="18.75" customHeight="1">
      <c r="A364" s="21"/>
    </row>
    <row r="365" ht="18.75" customHeight="1">
      <c r="A365" s="21"/>
    </row>
    <row r="366" ht="18.75" customHeight="1">
      <c r="A366" s="21"/>
    </row>
    <row r="367" ht="18.75" customHeight="1">
      <c r="A367" s="21"/>
    </row>
    <row r="368" ht="18.75" customHeight="1">
      <c r="A368" s="21"/>
    </row>
    <row r="369" ht="18.75" customHeight="1">
      <c r="A369" s="21"/>
    </row>
    <row r="370" ht="18.75" customHeight="1">
      <c r="A370" s="21"/>
    </row>
    <row r="371" ht="18.75" customHeight="1">
      <c r="A371" s="21"/>
    </row>
    <row r="372" ht="18.75" customHeight="1">
      <c r="A372" s="21"/>
    </row>
    <row r="373" ht="18.75" customHeight="1">
      <c r="A373" s="21"/>
    </row>
    <row r="374" ht="18.75" customHeight="1">
      <c r="A374" s="21"/>
    </row>
    <row r="375" ht="18.75" customHeight="1">
      <c r="A375" s="21"/>
    </row>
    <row r="376" ht="18.75" customHeight="1">
      <c r="A376" s="21"/>
    </row>
    <row r="377" ht="18.75" customHeight="1">
      <c r="A377" s="21"/>
    </row>
    <row r="378" ht="18.75" customHeight="1">
      <c r="A378" s="21"/>
    </row>
    <row r="379" ht="18.75" customHeight="1">
      <c r="A379" s="21"/>
    </row>
    <row r="380" ht="18.75" customHeight="1">
      <c r="A380" s="21"/>
    </row>
    <row r="381" ht="18.75" customHeight="1">
      <c r="A381" s="21"/>
    </row>
    <row r="382" ht="18.75" customHeight="1">
      <c r="A382" s="21"/>
    </row>
    <row r="383" ht="18.75" customHeight="1">
      <c r="A383" s="21"/>
    </row>
    <row r="384" ht="18.75" customHeight="1">
      <c r="A384" s="21"/>
    </row>
    <row r="385" ht="18.75" customHeight="1">
      <c r="A385" s="21"/>
    </row>
    <row r="386" ht="18.75" customHeight="1">
      <c r="A386" s="21"/>
    </row>
    <row r="387" ht="18.75" customHeight="1">
      <c r="A387" s="21"/>
    </row>
    <row r="388" ht="18.75" customHeight="1">
      <c r="A388" s="21"/>
    </row>
    <row r="389" ht="18.75" customHeight="1">
      <c r="A389" s="21"/>
    </row>
    <row r="390" ht="18.75" customHeight="1">
      <c r="A390" s="21"/>
    </row>
    <row r="391" ht="18.75" customHeight="1">
      <c r="A391" s="21"/>
    </row>
    <row r="392" ht="18.75" customHeight="1">
      <c r="A392" s="21"/>
    </row>
    <row r="393" ht="18.75" customHeight="1">
      <c r="A393" s="21"/>
    </row>
    <row r="394" ht="18.75" customHeight="1">
      <c r="A394" s="21"/>
    </row>
    <row r="395" ht="18.75" customHeight="1">
      <c r="A395" s="21"/>
    </row>
    <row r="396" ht="18.75" customHeight="1">
      <c r="A396" s="21"/>
    </row>
    <row r="397" ht="18.75" customHeight="1">
      <c r="A397" s="21"/>
    </row>
    <row r="398" ht="18.75" customHeight="1">
      <c r="A398" s="21"/>
    </row>
    <row r="399" ht="18.75" customHeight="1">
      <c r="A399" s="21"/>
    </row>
    <row r="400" ht="18.75" customHeight="1">
      <c r="A400" s="21"/>
    </row>
    <row r="401" ht="18.75" customHeight="1">
      <c r="A401" s="21"/>
    </row>
    <row r="402" ht="18.75" customHeight="1">
      <c r="A402" s="21"/>
    </row>
    <row r="403" ht="18.75" customHeight="1">
      <c r="A403" s="21"/>
    </row>
    <row r="404" ht="18.75" customHeight="1">
      <c r="A404" s="21"/>
    </row>
    <row r="405" ht="18.75" customHeight="1">
      <c r="A405" s="21"/>
    </row>
    <row r="406" ht="18.75" customHeight="1">
      <c r="A406" s="21"/>
    </row>
    <row r="407" ht="18.75" customHeight="1">
      <c r="A407" s="21"/>
    </row>
    <row r="408" ht="18.75" customHeight="1">
      <c r="A408" s="21"/>
    </row>
    <row r="409" ht="18.75" customHeight="1">
      <c r="A409" s="21"/>
    </row>
    <row r="410" ht="18.75" customHeight="1">
      <c r="A410" s="21"/>
    </row>
    <row r="411" ht="18.75" customHeight="1">
      <c r="A411" s="21"/>
    </row>
    <row r="412" ht="18.75" customHeight="1">
      <c r="A412" s="21"/>
    </row>
    <row r="413" ht="18.75" customHeight="1">
      <c r="A413" s="21"/>
    </row>
    <row r="414" ht="18.75" customHeight="1">
      <c r="A414" s="21"/>
    </row>
    <row r="415" ht="18.75" customHeight="1">
      <c r="A415" s="21"/>
    </row>
    <row r="416" ht="18.75" customHeight="1">
      <c r="A416" s="21"/>
    </row>
    <row r="417" ht="18.75" customHeight="1">
      <c r="A417" s="21"/>
    </row>
    <row r="418" ht="18.75" customHeight="1">
      <c r="A418" s="21"/>
    </row>
    <row r="419" ht="18.75" customHeight="1">
      <c r="A419" s="21"/>
    </row>
    <row r="420" ht="18.75" customHeight="1">
      <c r="A420" s="21"/>
    </row>
    <row r="421" ht="18.75" customHeight="1">
      <c r="A421" s="21"/>
    </row>
    <row r="422" ht="18.75" customHeight="1">
      <c r="A422" s="21"/>
    </row>
    <row r="423" ht="18.75" customHeight="1">
      <c r="A423" s="21"/>
    </row>
    <row r="424" ht="18.75" customHeight="1">
      <c r="A424" s="21"/>
    </row>
    <row r="425" ht="18.75" customHeight="1">
      <c r="A425" s="21"/>
    </row>
    <row r="426" ht="18.75" customHeight="1">
      <c r="A426" s="21"/>
    </row>
    <row r="427" ht="18.75" customHeight="1">
      <c r="A427" s="21"/>
    </row>
    <row r="428" ht="18.75" customHeight="1">
      <c r="A428" s="21"/>
    </row>
    <row r="429" ht="18.75" customHeight="1">
      <c r="A429" s="21"/>
    </row>
    <row r="430" ht="18.75" customHeight="1">
      <c r="A430" s="21"/>
    </row>
    <row r="431" ht="18.75" customHeight="1">
      <c r="A431" s="21"/>
    </row>
    <row r="432" ht="18.75" customHeight="1">
      <c r="A432" s="21"/>
    </row>
    <row r="433" ht="18.75" customHeight="1">
      <c r="A433" s="21"/>
    </row>
    <row r="434" ht="18.75" customHeight="1">
      <c r="A434" s="21"/>
    </row>
    <row r="435" ht="18.75" customHeight="1">
      <c r="A435" s="21"/>
    </row>
    <row r="436" ht="18.75" customHeight="1">
      <c r="A436" s="21"/>
    </row>
    <row r="437" ht="18.75" customHeight="1">
      <c r="A437" s="21"/>
    </row>
    <row r="438" ht="18.75" customHeight="1">
      <c r="A438" s="21"/>
    </row>
    <row r="439" ht="18.75" customHeight="1">
      <c r="A439" s="21"/>
    </row>
    <row r="440" ht="18.75" customHeight="1">
      <c r="A440" s="21"/>
    </row>
    <row r="441" ht="18.75" customHeight="1">
      <c r="A441" s="21"/>
    </row>
    <row r="442" ht="18.75" customHeight="1">
      <c r="A442" s="21"/>
    </row>
    <row r="443" ht="18.75" customHeight="1">
      <c r="A443" s="21"/>
    </row>
    <row r="444" ht="18.75" customHeight="1">
      <c r="A444" s="21"/>
    </row>
    <row r="445" ht="18.75" customHeight="1">
      <c r="A445" s="21"/>
    </row>
    <row r="446" ht="18.75" customHeight="1">
      <c r="A446" s="21"/>
    </row>
    <row r="447" ht="18.75" customHeight="1">
      <c r="A447" s="21"/>
    </row>
    <row r="448" ht="18.75" customHeight="1">
      <c r="A448" s="21"/>
    </row>
    <row r="449" ht="18.75" customHeight="1">
      <c r="A449" s="21"/>
    </row>
    <row r="450" ht="18.75" customHeight="1">
      <c r="A450" s="21"/>
    </row>
    <row r="451" ht="18.75" customHeight="1">
      <c r="A451" s="21"/>
    </row>
    <row r="452" ht="18.75" customHeight="1">
      <c r="A452" s="21"/>
    </row>
    <row r="453" ht="18.75" customHeight="1">
      <c r="A453" s="21"/>
    </row>
    <row r="454" ht="18.75" customHeight="1">
      <c r="A454" s="21"/>
    </row>
    <row r="455" ht="18.75" customHeight="1">
      <c r="A455" s="21"/>
    </row>
    <row r="456" ht="18.75" customHeight="1">
      <c r="A456" s="21"/>
    </row>
    <row r="457" ht="18.75" customHeight="1">
      <c r="A457" s="21"/>
    </row>
    <row r="458" ht="18.75" customHeight="1">
      <c r="A458" s="21"/>
    </row>
    <row r="459" ht="18.75" customHeight="1">
      <c r="A459" s="21"/>
    </row>
    <row r="460" ht="18.75" customHeight="1">
      <c r="A460" s="21"/>
    </row>
    <row r="461" ht="18.75" customHeight="1">
      <c r="A461" s="21"/>
    </row>
    <row r="462" ht="18.75" customHeight="1">
      <c r="A462" s="21"/>
    </row>
    <row r="463" ht="18.75" customHeight="1">
      <c r="A463" s="21"/>
    </row>
    <row r="464" ht="18.75" customHeight="1">
      <c r="A464" s="21"/>
    </row>
    <row r="465" ht="18.75" customHeight="1">
      <c r="A465" s="21"/>
    </row>
    <row r="466" ht="18.75" customHeight="1">
      <c r="A466" s="21"/>
    </row>
    <row r="467" ht="18.75" customHeight="1">
      <c r="A467" s="21"/>
    </row>
    <row r="468" ht="18.75" customHeight="1">
      <c r="A468" s="21"/>
    </row>
    <row r="469" ht="18.75" customHeight="1">
      <c r="A469" s="21"/>
    </row>
    <row r="470" ht="18.75" customHeight="1">
      <c r="A470" s="21"/>
    </row>
    <row r="471" ht="18.75" customHeight="1">
      <c r="A471" s="21"/>
    </row>
    <row r="472" ht="18.75" customHeight="1">
      <c r="A472" s="21"/>
    </row>
    <row r="473" ht="18.75" customHeight="1">
      <c r="A473" s="21"/>
    </row>
    <row r="474" ht="18.75" customHeight="1">
      <c r="A474" s="21"/>
    </row>
    <row r="475" ht="18.75" customHeight="1">
      <c r="A475" s="21"/>
    </row>
    <row r="476" ht="18.75" customHeight="1">
      <c r="A476" s="21"/>
    </row>
    <row r="477" ht="18.75" customHeight="1">
      <c r="A477" s="21"/>
    </row>
    <row r="478" ht="18.75" customHeight="1">
      <c r="A478" s="21"/>
    </row>
    <row r="479" ht="18.75" customHeight="1">
      <c r="A479" s="21"/>
    </row>
    <row r="480" ht="18.75" customHeight="1">
      <c r="A480" s="21"/>
    </row>
    <row r="481" ht="18.75" customHeight="1">
      <c r="A481" s="21"/>
    </row>
    <row r="482" ht="18.75" customHeight="1">
      <c r="A482" s="21"/>
    </row>
    <row r="483" ht="18.75" customHeight="1">
      <c r="A483" s="21"/>
    </row>
    <row r="484" ht="18.75" customHeight="1">
      <c r="A484" s="21"/>
    </row>
    <row r="485" ht="18.75" customHeight="1">
      <c r="A485" s="21"/>
    </row>
    <row r="486" ht="18.75" customHeight="1">
      <c r="A486" s="21"/>
    </row>
    <row r="487" ht="18.75" customHeight="1">
      <c r="A487" s="21"/>
    </row>
    <row r="488" ht="18.75" customHeight="1">
      <c r="A488" s="21"/>
    </row>
    <row r="489" ht="18.75" customHeight="1">
      <c r="A489" s="21"/>
    </row>
    <row r="490" ht="18.75" customHeight="1">
      <c r="A490" s="21"/>
    </row>
    <row r="491" ht="18.75" customHeight="1">
      <c r="A491" s="21"/>
    </row>
    <row r="492" ht="18.75" customHeight="1">
      <c r="A492" s="21"/>
    </row>
    <row r="493" ht="18.75" customHeight="1">
      <c r="A493" s="21"/>
    </row>
    <row r="494" ht="18.75" customHeight="1">
      <c r="A494" s="21"/>
    </row>
    <row r="495" ht="18.75" customHeight="1">
      <c r="A495" s="21"/>
    </row>
    <row r="496" ht="18.75" customHeight="1">
      <c r="A496" s="21"/>
    </row>
    <row r="497" ht="18.75" customHeight="1">
      <c r="A497" s="21"/>
    </row>
    <row r="498" ht="18.75" customHeight="1">
      <c r="A498" s="21"/>
    </row>
    <row r="499" ht="18.75" customHeight="1">
      <c r="A499" s="21"/>
    </row>
    <row r="500" ht="18.75" customHeight="1">
      <c r="A500" s="21"/>
    </row>
    <row r="501" ht="18.75" customHeight="1">
      <c r="A501" s="21"/>
    </row>
    <row r="502" ht="18.75" customHeight="1">
      <c r="A502" s="21"/>
    </row>
    <row r="503" ht="18.75" customHeight="1">
      <c r="A503" s="21"/>
    </row>
    <row r="504" ht="18.75" customHeight="1">
      <c r="A504" s="21"/>
    </row>
    <row r="505" ht="18.75" customHeight="1">
      <c r="A505" s="21"/>
    </row>
    <row r="506" ht="18.75" customHeight="1">
      <c r="A506" s="21"/>
    </row>
    <row r="507" ht="18.75" customHeight="1">
      <c r="A507" s="21"/>
    </row>
    <row r="508" ht="18.75" customHeight="1">
      <c r="A508" s="21"/>
    </row>
    <row r="509" ht="18.75" customHeight="1">
      <c r="A509" s="21"/>
    </row>
    <row r="510" ht="18.75" customHeight="1">
      <c r="A510" s="21"/>
    </row>
    <row r="511" ht="18.75" customHeight="1">
      <c r="A511" s="21"/>
    </row>
    <row r="512" ht="18.75" customHeight="1">
      <c r="A512" s="21"/>
    </row>
    <row r="513" ht="18.75" customHeight="1">
      <c r="A513" s="21"/>
    </row>
    <row r="514" ht="18.75" customHeight="1">
      <c r="A514" s="21"/>
    </row>
    <row r="515" ht="18.75" customHeight="1">
      <c r="A515" s="21"/>
    </row>
    <row r="516" ht="18.75" customHeight="1">
      <c r="A516" s="21"/>
    </row>
    <row r="517" ht="18.75" customHeight="1">
      <c r="A517" s="21"/>
    </row>
    <row r="518" ht="18.75" customHeight="1">
      <c r="A518" s="21"/>
    </row>
    <row r="519" ht="18.75" customHeight="1">
      <c r="A519" s="21"/>
    </row>
    <row r="520" ht="18.75" customHeight="1">
      <c r="A520" s="21"/>
    </row>
    <row r="521" ht="18.75" customHeight="1">
      <c r="A521" s="21"/>
    </row>
    <row r="522" ht="18.75" customHeight="1">
      <c r="A522" s="21"/>
    </row>
    <row r="523" ht="18.75" customHeight="1">
      <c r="A523" s="21"/>
    </row>
    <row r="524" ht="18.75" customHeight="1">
      <c r="A524" s="21"/>
    </row>
    <row r="525" ht="18.75" customHeight="1">
      <c r="A525" s="21"/>
    </row>
    <row r="526" ht="18.75" customHeight="1">
      <c r="A526" s="21"/>
    </row>
    <row r="527" ht="18.75" customHeight="1">
      <c r="A527" s="21"/>
    </row>
    <row r="528" ht="18.75" customHeight="1">
      <c r="A528" s="21"/>
    </row>
    <row r="529" ht="18.75" customHeight="1">
      <c r="A529" s="21"/>
    </row>
    <row r="530" ht="18.75" customHeight="1">
      <c r="A530" s="21"/>
    </row>
    <row r="531" ht="18.75" customHeight="1">
      <c r="A531" s="21"/>
    </row>
    <row r="532" ht="18.75" customHeight="1">
      <c r="A532" s="21"/>
    </row>
    <row r="533" ht="18.75" customHeight="1">
      <c r="A533" s="21"/>
    </row>
    <row r="534" ht="18.75" customHeight="1">
      <c r="A534" s="21"/>
    </row>
    <row r="535" ht="18.75" customHeight="1">
      <c r="A535" s="21"/>
    </row>
    <row r="536" ht="18.75" customHeight="1">
      <c r="A536" s="21"/>
    </row>
    <row r="537" ht="18.75" customHeight="1">
      <c r="A537" s="21"/>
    </row>
    <row r="538" ht="18.75" customHeight="1">
      <c r="A538" s="21"/>
    </row>
    <row r="539" ht="18.75" customHeight="1">
      <c r="A539" s="21"/>
    </row>
    <row r="540" ht="18.75" customHeight="1">
      <c r="A540" s="21"/>
    </row>
    <row r="541" ht="18.75" customHeight="1">
      <c r="A541" s="21"/>
    </row>
    <row r="542" ht="18.75" customHeight="1">
      <c r="A542" s="21"/>
    </row>
    <row r="543" ht="18.75" customHeight="1">
      <c r="A543" s="21"/>
    </row>
    <row r="544" ht="18.75" customHeight="1">
      <c r="A544" s="21"/>
    </row>
    <row r="545" ht="18.75" customHeight="1">
      <c r="A545" s="21"/>
    </row>
    <row r="546" ht="18.75" customHeight="1">
      <c r="A546" s="21"/>
    </row>
    <row r="547" ht="18.75" customHeight="1">
      <c r="A547" s="21"/>
    </row>
    <row r="548" ht="18.75" customHeight="1">
      <c r="A548" s="21"/>
    </row>
    <row r="549" ht="18.75" customHeight="1">
      <c r="A549" s="21"/>
    </row>
    <row r="550" ht="18.75" customHeight="1">
      <c r="A550" s="21"/>
    </row>
    <row r="551" ht="18.75" customHeight="1">
      <c r="A551" s="21"/>
    </row>
    <row r="552" ht="18.75" customHeight="1">
      <c r="A552" s="21"/>
    </row>
    <row r="553" ht="18.75" customHeight="1">
      <c r="A553" s="21"/>
    </row>
    <row r="554" ht="18.75" customHeight="1">
      <c r="A554" s="21"/>
    </row>
    <row r="555" ht="18.75" customHeight="1">
      <c r="A555" s="21"/>
    </row>
    <row r="556" ht="18.75" customHeight="1">
      <c r="A556" s="21"/>
    </row>
    <row r="557" ht="18.75" customHeight="1">
      <c r="A557" s="21"/>
    </row>
    <row r="558" ht="18.75" customHeight="1">
      <c r="A558" s="21"/>
    </row>
    <row r="559" ht="18.75" customHeight="1">
      <c r="A559" s="21"/>
    </row>
    <row r="560" ht="18.75" customHeight="1">
      <c r="A560" s="21"/>
    </row>
    <row r="561" ht="18.75" customHeight="1">
      <c r="A561" s="21"/>
    </row>
    <row r="562" ht="18.75" customHeight="1">
      <c r="A562" s="21"/>
    </row>
    <row r="563" ht="18.75" customHeight="1">
      <c r="A563" s="21"/>
    </row>
    <row r="564" ht="18.75" customHeight="1">
      <c r="A564" s="21"/>
    </row>
    <row r="565" ht="18.75" customHeight="1">
      <c r="A565" s="21"/>
    </row>
    <row r="566" ht="18.75" customHeight="1">
      <c r="A566" s="21"/>
    </row>
    <row r="567" ht="18.75" customHeight="1">
      <c r="A567" s="21"/>
    </row>
    <row r="568" ht="18.75" customHeight="1">
      <c r="A568" s="21"/>
    </row>
    <row r="569" ht="18.75" customHeight="1">
      <c r="A569" s="21"/>
    </row>
    <row r="570" ht="18.75" customHeight="1">
      <c r="A570" s="21"/>
    </row>
    <row r="571" ht="18.75" customHeight="1">
      <c r="A571" s="21"/>
    </row>
    <row r="572" ht="18.75" customHeight="1">
      <c r="A572" s="21"/>
    </row>
    <row r="573" ht="18.75" customHeight="1">
      <c r="A573" s="21"/>
    </row>
    <row r="574" ht="18.75" customHeight="1">
      <c r="A574" s="21"/>
    </row>
    <row r="575" ht="18.75" customHeight="1">
      <c r="A575" s="21"/>
    </row>
    <row r="576" ht="18.75" customHeight="1">
      <c r="A576" s="21"/>
    </row>
    <row r="577" ht="18.75" customHeight="1">
      <c r="A577" s="21"/>
    </row>
    <row r="578" ht="18.75" customHeight="1">
      <c r="A578" s="21"/>
    </row>
    <row r="579" ht="18.75" customHeight="1">
      <c r="A579" s="21"/>
    </row>
    <row r="580" ht="18.75" customHeight="1">
      <c r="A580" s="21"/>
    </row>
    <row r="581" ht="18.75" customHeight="1">
      <c r="A581" s="21"/>
    </row>
    <row r="582" ht="18.75" customHeight="1">
      <c r="A582" s="21"/>
    </row>
    <row r="583" ht="18.75" customHeight="1">
      <c r="A583" s="21"/>
    </row>
    <row r="584" ht="18.75" customHeight="1">
      <c r="A584" s="21"/>
    </row>
    <row r="585" ht="18.75" customHeight="1">
      <c r="A585" s="21"/>
    </row>
    <row r="586" ht="17.25" customHeight="1">
      <c r="A586" s="21"/>
    </row>
    <row r="587" ht="18.75" customHeight="1">
      <c r="A587" s="21"/>
    </row>
    <row r="588" ht="18.75" customHeight="1">
      <c r="A588" s="21"/>
    </row>
    <row r="589" ht="18.75" customHeight="1">
      <c r="A589" s="21"/>
    </row>
    <row r="590" ht="18.75" customHeight="1">
      <c r="A590" s="21"/>
    </row>
    <row r="591" ht="18.75" customHeight="1">
      <c r="A591" s="21"/>
    </row>
    <row r="592" ht="18.75" customHeight="1">
      <c r="A592" s="21"/>
    </row>
    <row r="593" ht="18.75" customHeight="1">
      <c r="A593" s="21"/>
    </row>
    <row r="594" ht="18.75" customHeight="1">
      <c r="A594" s="21"/>
    </row>
    <row r="595" ht="18.75" customHeight="1">
      <c r="A595" s="21"/>
    </row>
    <row r="596" ht="18.75" customHeight="1">
      <c r="A596" s="21"/>
    </row>
    <row r="597" ht="18.75" customHeight="1">
      <c r="A597" s="21"/>
    </row>
    <row r="598" ht="18.75" customHeight="1">
      <c r="A598" s="21"/>
    </row>
    <row r="599" ht="18.75" customHeight="1">
      <c r="A599" s="21"/>
    </row>
    <row r="600" ht="18.75" customHeight="1">
      <c r="A600" s="21"/>
    </row>
    <row r="601" ht="18.75" customHeight="1">
      <c r="A601" s="21"/>
    </row>
    <row r="602" ht="18.75" customHeight="1">
      <c r="A602" s="21"/>
    </row>
    <row r="603" ht="18.75" customHeight="1">
      <c r="A603" s="21"/>
    </row>
    <row r="604" ht="18.75" customHeight="1">
      <c r="A604" s="21"/>
    </row>
    <row r="605" ht="18.75" customHeight="1">
      <c r="A605" s="21"/>
    </row>
    <row r="606" ht="18.75" customHeight="1">
      <c r="A606" s="21"/>
    </row>
    <row r="607" ht="18.75" customHeight="1">
      <c r="A607" s="21"/>
    </row>
    <row r="608" ht="18.75" customHeight="1">
      <c r="A608" s="21"/>
    </row>
    <row r="609" ht="18.75" customHeight="1">
      <c r="A609" s="21"/>
    </row>
    <row r="610" ht="18.75" customHeight="1">
      <c r="A610" s="21"/>
    </row>
    <row r="611" ht="18.75" customHeight="1">
      <c r="A611" s="21"/>
    </row>
    <row r="612" ht="18.75" customHeight="1">
      <c r="A612" s="21"/>
    </row>
    <row r="613" ht="18.75" customHeight="1">
      <c r="A613" s="21"/>
    </row>
    <row r="614" ht="18.75" customHeight="1">
      <c r="A614" s="21"/>
    </row>
    <row r="615" ht="18.75" customHeight="1">
      <c r="A615" s="21"/>
    </row>
    <row r="616" ht="18.75" customHeight="1">
      <c r="A616" s="21"/>
    </row>
    <row r="617" ht="18.75" customHeight="1">
      <c r="A617" s="21"/>
    </row>
    <row r="618" ht="18.75" customHeight="1">
      <c r="A618" s="21"/>
    </row>
    <row r="619" ht="18.75" customHeight="1">
      <c r="A619" s="21"/>
    </row>
    <row r="620" ht="18.75" customHeight="1">
      <c r="A620" s="21"/>
    </row>
    <row r="621" ht="18.75" customHeight="1">
      <c r="A621" s="21"/>
    </row>
    <row r="622" ht="18.75" customHeight="1">
      <c r="A622" s="21"/>
    </row>
    <row r="623" ht="18.75" customHeight="1">
      <c r="A623" s="21"/>
    </row>
    <row r="624" ht="18.75" customHeight="1">
      <c r="A624" s="21"/>
    </row>
    <row r="625" ht="18.75" customHeight="1">
      <c r="A625" s="21"/>
    </row>
    <row r="626" ht="18.75" customHeight="1">
      <c r="A626" s="21"/>
    </row>
    <row r="627" ht="18.75" customHeight="1">
      <c r="A627" s="21"/>
    </row>
    <row r="628" ht="18.75" customHeight="1">
      <c r="A628" s="21"/>
    </row>
    <row r="629" ht="18.75" customHeight="1">
      <c r="A629" s="21"/>
    </row>
    <row r="630" ht="18.75" customHeight="1">
      <c r="A630" s="21"/>
    </row>
    <row r="631" ht="18.75" customHeight="1">
      <c r="A631" s="21"/>
    </row>
    <row r="632" ht="18.75" customHeight="1">
      <c r="A632" s="21"/>
    </row>
    <row r="633" ht="18.75" customHeight="1">
      <c r="A633" s="21"/>
    </row>
    <row r="634" ht="18.75" customHeight="1">
      <c r="A634" s="21"/>
    </row>
    <row r="635" ht="18.75" customHeight="1">
      <c r="A635" s="21"/>
    </row>
    <row r="636" ht="18.75" customHeight="1">
      <c r="A636" s="21"/>
    </row>
    <row r="637" ht="18.75" customHeight="1">
      <c r="A637" s="21"/>
    </row>
    <row r="638" ht="18.75" customHeight="1">
      <c r="A638" s="21"/>
    </row>
    <row r="639" ht="18.75" customHeight="1">
      <c r="A639" s="21"/>
    </row>
    <row r="640" ht="18.75" customHeight="1">
      <c r="A640" s="21"/>
    </row>
    <row r="641" ht="18.75" customHeight="1">
      <c r="A641" s="21"/>
    </row>
    <row r="642" ht="18.75" customHeight="1">
      <c r="A642" s="21"/>
    </row>
    <row r="643" ht="18.75" customHeight="1">
      <c r="A643" s="21"/>
    </row>
    <row r="644" ht="18.75" customHeight="1">
      <c r="A644" s="21"/>
    </row>
    <row r="645" ht="18.75" customHeight="1">
      <c r="A645" s="21"/>
    </row>
    <row r="646" ht="18.75" customHeight="1">
      <c r="A646" s="21"/>
    </row>
    <row r="647" ht="18.75" customHeight="1">
      <c r="A647" s="21"/>
    </row>
    <row r="648" ht="18.75" customHeight="1">
      <c r="A648" s="21"/>
    </row>
    <row r="649" ht="18.75" customHeight="1">
      <c r="A649" s="21"/>
    </row>
    <row r="650" ht="18.75" customHeight="1">
      <c r="A650" s="21"/>
    </row>
    <row r="651" ht="18.75" customHeight="1">
      <c r="A651" s="21"/>
    </row>
    <row r="652" ht="18.75" customHeight="1">
      <c r="A652" s="21"/>
    </row>
    <row r="653" ht="18.75" customHeight="1">
      <c r="A653" s="21"/>
    </row>
    <row r="654" ht="18.75" customHeight="1">
      <c r="A654" s="21"/>
    </row>
    <row r="655" ht="18.75" customHeight="1">
      <c r="A655" s="21"/>
    </row>
    <row r="656" ht="18.75" customHeight="1">
      <c r="A656" s="21"/>
    </row>
    <row r="657" ht="18.75" customHeight="1">
      <c r="A657" s="21"/>
    </row>
    <row r="658" ht="18.75" customHeight="1">
      <c r="A658" s="21"/>
    </row>
    <row r="659" ht="18.75" customHeight="1">
      <c r="A659" s="21"/>
    </row>
  </sheetData>
  <sheetProtection/>
  <autoFilter ref="A1:G659"/>
  <printOptions/>
  <pageMargins left="0.75" right="0.75" top="1" bottom="1" header="0.5" footer="0.5"/>
  <pageSetup horizontalDpi="300" verticalDpi="300" orientation="portrait" paperSize="9" r:id="rId1"/>
  <ignoredErrors>
    <ignoredError sqref="L6:L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P32" sqref="P32"/>
    </sheetView>
  </sheetViews>
  <sheetFormatPr defaultColWidth="8.88671875" defaultRowHeight="13.5"/>
  <cols>
    <col min="1" max="1" width="4.4453125" style="0" customWidth="1"/>
    <col min="2" max="2" width="7.21484375" style="0" customWidth="1"/>
    <col min="3" max="3" width="6.77734375" style="0" customWidth="1"/>
    <col min="4" max="6" width="6.77734375" style="249" customWidth="1"/>
    <col min="7" max="13" width="6.77734375" style="0" customWidth="1"/>
    <col min="14" max="14" width="5.4453125" style="0" customWidth="1"/>
  </cols>
  <sheetData>
    <row r="1" spans="1:3" ht="17.25" customHeight="1">
      <c r="A1" s="248"/>
      <c r="B1" s="248"/>
      <c r="C1" s="248"/>
    </row>
    <row r="2" spans="1:17" ht="17.25" customHeight="1" thickBot="1">
      <c r="A2" s="472" t="s">
        <v>336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13" s="250" customFormat="1" ht="15.75" customHeight="1">
      <c r="A3" s="473" t="s">
        <v>206</v>
      </c>
      <c r="B3" s="474"/>
      <c r="C3" s="477" t="s">
        <v>207</v>
      </c>
      <c r="D3" s="478"/>
      <c r="E3" s="478"/>
      <c r="F3" s="478"/>
      <c r="G3" s="478"/>
      <c r="H3" s="478"/>
      <c r="I3" s="479" t="s">
        <v>208</v>
      </c>
      <c r="J3" s="479" t="s">
        <v>209</v>
      </c>
      <c r="K3" s="481" t="s">
        <v>210</v>
      </c>
      <c r="L3" s="482"/>
      <c r="M3" s="483"/>
    </row>
    <row r="4" spans="1:13" s="250" customFormat="1" ht="36" customHeight="1">
      <c r="A4" s="475"/>
      <c r="B4" s="476"/>
      <c r="C4" s="251" t="s">
        <v>211</v>
      </c>
      <c r="D4" s="251" t="s">
        <v>212</v>
      </c>
      <c r="E4" s="251" t="s">
        <v>213</v>
      </c>
      <c r="F4" s="251" t="s">
        <v>214</v>
      </c>
      <c r="G4" s="251" t="s">
        <v>215</v>
      </c>
      <c r="H4" s="277" t="s">
        <v>216</v>
      </c>
      <c r="I4" s="480"/>
      <c r="J4" s="480"/>
      <c r="K4" s="252" t="s">
        <v>217</v>
      </c>
      <c r="L4" s="252" t="s">
        <v>218</v>
      </c>
      <c r="M4" s="253" t="s">
        <v>219</v>
      </c>
    </row>
    <row r="5" spans="1:17" s="250" customFormat="1" ht="15" customHeight="1">
      <c r="A5" s="254" t="s">
        <v>220</v>
      </c>
      <c r="B5" s="255" t="s">
        <v>221</v>
      </c>
      <c r="C5" s="256" t="s">
        <v>222</v>
      </c>
      <c r="D5" s="256" t="s">
        <v>223</v>
      </c>
      <c r="E5" s="256" t="s">
        <v>224</v>
      </c>
      <c r="F5" s="256" t="s">
        <v>225</v>
      </c>
      <c r="G5" s="256" t="s">
        <v>226</v>
      </c>
      <c r="H5" s="256" t="s">
        <v>227</v>
      </c>
      <c r="I5" s="257">
        <v>3.54</v>
      </c>
      <c r="J5" s="258">
        <v>0.425</v>
      </c>
      <c r="K5" s="259">
        <v>39</v>
      </c>
      <c r="L5" s="259">
        <v>60</v>
      </c>
      <c r="M5" s="260">
        <v>90</v>
      </c>
      <c r="O5" s="261"/>
      <c r="P5" s="261"/>
      <c r="Q5" s="261"/>
    </row>
    <row r="6" spans="1:17" s="250" customFormat="1" ht="15" customHeight="1">
      <c r="A6" s="254" t="s">
        <v>220</v>
      </c>
      <c r="B6" s="255" t="s">
        <v>228</v>
      </c>
      <c r="C6" s="256" t="s">
        <v>229</v>
      </c>
      <c r="D6" s="256" t="s">
        <v>230</v>
      </c>
      <c r="E6" s="256" t="s">
        <v>231</v>
      </c>
      <c r="F6" s="256" t="s">
        <v>232</v>
      </c>
      <c r="G6" s="256" t="s">
        <v>233</v>
      </c>
      <c r="H6" s="256" t="s">
        <v>234</v>
      </c>
      <c r="I6" s="257">
        <v>4.91</v>
      </c>
      <c r="J6" s="258">
        <v>0.67</v>
      </c>
      <c r="K6" s="259">
        <v>45</v>
      </c>
      <c r="L6" s="259">
        <v>69</v>
      </c>
      <c r="M6" s="260">
        <v>103</v>
      </c>
      <c r="O6" s="261"/>
      <c r="P6" s="261"/>
      <c r="Q6" s="261"/>
    </row>
    <row r="7" spans="1:17" s="250" customFormat="1" ht="15" customHeight="1">
      <c r="A7" s="254" t="s">
        <v>220</v>
      </c>
      <c r="B7" s="255" t="s">
        <v>235</v>
      </c>
      <c r="C7" s="256" t="s">
        <v>236</v>
      </c>
      <c r="D7" s="256" t="s">
        <v>237</v>
      </c>
      <c r="E7" s="256" t="s">
        <v>238</v>
      </c>
      <c r="F7" s="256" t="s">
        <v>223</v>
      </c>
      <c r="G7" s="256" t="s">
        <v>239</v>
      </c>
      <c r="H7" s="256" t="s">
        <v>240</v>
      </c>
      <c r="I7" s="257">
        <v>4.97</v>
      </c>
      <c r="J7" s="258">
        <v>0.96</v>
      </c>
      <c r="K7" s="259">
        <v>63</v>
      </c>
      <c r="L7" s="259">
        <v>97</v>
      </c>
      <c r="M7" s="260">
        <v>146</v>
      </c>
      <c r="O7" s="261"/>
      <c r="P7" s="261"/>
      <c r="Q7" s="261"/>
    </row>
    <row r="8" spans="1:17" s="250" customFormat="1" ht="15" customHeight="1">
      <c r="A8" s="254" t="s">
        <v>220</v>
      </c>
      <c r="B8" s="255" t="s">
        <v>241</v>
      </c>
      <c r="C8" s="256" t="s">
        <v>236</v>
      </c>
      <c r="D8" s="256" t="s">
        <v>237</v>
      </c>
      <c r="E8" s="256" t="s">
        <v>242</v>
      </c>
      <c r="F8" s="256" t="s">
        <v>223</v>
      </c>
      <c r="G8" s="256" t="s">
        <v>239</v>
      </c>
      <c r="H8" s="256" t="s">
        <v>243</v>
      </c>
      <c r="I8" s="257">
        <v>5.93</v>
      </c>
      <c r="J8" s="258">
        <v>0.96</v>
      </c>
      <c r="K8" s="259">
        <v>53</v>
      </c>
      <c r="L8" s="259">
        <v>81</v>
      </c>
      <c r="M8" s="260">
        <v>122</v>
      </c>
      <c r="O8" s="261"/>
      <c r="P8" s="261"/>
      <c r="Q8" s="261"/>
    </row>
    <row r="9" spans="1:17" s="250" customFormat="1" ht="15" customHeight="1">
      <c r="A9" s="254" t="s">
        <v>220</v>
      </c>
      <c r="B9" s="255" t="s">
        <v>244</v>
      </c>
      <c r="C9" s="256" t="s">
        <v>245</v>
      </c>
      <c r="D9" s="256" t="s">
        <v>246</v>
      </c>
      <c r="E9" s="256" t="s">
        <v>232</v>
      </c>
      <c r="F9" s="256" t="s">
        <v>247</v>
      </c>
      <c r="G9" s="256" t="s">
        <v>248</v>
      </c>
      <c r="H9" s="256" t="s">
        <v>249</v>
      </c>
      <c r="I9" s="257">
        <v>5.81</v>
      </c>
      <c r="J9" s="258">
        <v>1.14</v>
      </c>
      <c r="K9" s="259">
        <v>64</v>
      </c>
      <c r="L9" s="259">
        <v>99</v>
      </c>
      <c r="M9" s="260">
        <v>148</v>
      </c>
      <c r="O9" s="261"/>
      <c r="P9" s="261"/>
      <c r="Q9" s="261"/>
    </row>
    <row r="10" spans="1:17" s="250" customFormat="1" ht="15" customHeight="1">
      <c r="A10" s="254" t="s">
        <v>220</v>
      </c>
      <c r="B10" s="255" t="s">
        <v>250</v>
      </c>
      <c r="C10" s="256" t="s">
        <v>245</v>
      </c>
      <c r="D10" s="256" t="s">
        <v>246</v>
      </c>
      <c r="E10" s="256" t="s">
        <v>251</v>
      </c>
      <c r="F10" s="256" t="s">
        <v>247</v>
      </c>
      <c r="G10" s="256" t="s">
        <v>248</v>
      </c>
      <c r="H10" s="256" t="s">
        <v>252</v>
      </c>
      <c r="I10" s="257">
        <v>6.85</v>
      </c>
      <c r="J10" s="258">
        <v>1.14</v>
      </c>
      <c r="K10" s="259">
        <v>54</v>
      </c>
      <c r="L10" s="259">
        <v>84</v>
      </c>
      <c r="M10" s="260">
        <v>125</v>
      </c>
      <c r="O10" s="261"/>
      <c r="P10" s="261"/>
      <c r="Q10" s="261"/>
    </row>
    <row r="11" spans="1:17" s="250" customFormat="1" ht="15" customHeight="1">
      <c r="A11" s="254" t="s">
        <v>220</v>
      </c>
      <c r="B11" s="255" t="s">
        <v>253</v>
      </c>
      <c r="C11" s="256" t="s">
        <v>254</v>
      </c>
      <c r="D11" s="256" t="s">
        <v>255</v>
      </c>
      <c r="E11" s="256" t="s">
        <v>256</v>
      </c>
      <c r="F11" s="256" t="s">
        <v>257</v>
      </c>
      <c r="G11" s="256" t="s">
        <v>258</v>
      </c>
      <c r="H11" s="256" t="s">
        <v>259</v>
      </c>
      <c r="I11" s="257">
        <v>6.25</v>
      </c>
      <c r="J11" s="258">
        <v>1.43</v>
      </c>
      <c r="K11" s="259">
        <v>75</v>
      </c>
      <c r="L11" s="259">
        <v>115</v>
      </c>
      <c r="M11" s="260">
        <v>172</v>
      </c>
      <c r="O11" s="262"/>
      <c r="P11" s="262"/>
      <c r="Q11" s="262"/>
    </row>
    <row r="12" spans="1:17" s="250" customFormat="1" ht="15" customHeight="1">
      <c r="A12" s="254" t="s">
        <v>220</v>
      </c>
      <c r="B12" s="255" t="s">
        <v>260</v>
      </c>
      <c r="C12" s="256" t="s">
        <v>254</v>
      </c>
      <c r="D12" s="256" t="s">
        <v>255</v>
      </c>
      <c r="E12" s="256" t="s">
        <v>261</v>
      </c>
      <c r="F12" s="256" t="s">
        <v>257</v>
      </c>
      <c r="G12" s="256" t="s">
        <v>258</v>
      </c>
      <c r="H12" s="256" t="s">
        <v>262</v>
      </c>
      <c r="I12" s="257">
        <v>7.49</v>
      </c>
      <c r="J12" s="258">
        <v>1.43</v>
      </c>
      <c r="K12" s="259">
        <v>62</v>
      </c>
      <c r="L12" s="259">
        <v>96</v>
      </c>
      <c r="M12" s="260">
        <v>144</v>
      </c>
      <c r="O12" s="262"/>
      <c r="P12" s="262"/>
      <c r="Q12" s="262"/>
    </row>
    <row r="13" spans="1:17" s="250" customFormat="1" ht="15" customHeight="1">
      <c r="A13" s="254" t="s">
        <v>220</v>
      </c>
      <c r="B13" s="255" t="s">
        <v>263</v>
      </c>
      <c r="C13" s="256" t="s">
        <v>254</v>
      </c>
      <c r="D13" s="256" t="s">
        <v>255</v>
      </c>
      <c r="E13" s="256" t="s">
        <v>264</v>
      </c>
      <c r="F13" s="256" t="s">
        <v>257</v>
      </c>
      <c r="G13" s="256" t="s">
        <v>258</v>
      </c>
      <c r="H13" s="256" t="s">
        <v>265</v>
      </c>
      <c r="I13" s="257">
        <v>8.21</v>
      </c>
      <c r="J13" s="258">
        <v>1.43</v>
      </c>
      <c r="K13" s="259">
        <v>57</v>
      </c>
      <c r="L13" s="259">
        <v>88</v>
      </c>
      <c r="M13" s="260">
        <v>131</v>
      </c>
      <c r="O13" s="262"/>
      <c r="P13" s="262"/>
      <c r="Q13" s="262"/>
    </row>
    <row r="14" spans="1:17" s="250" customFormat="1" ht="15" customHeight="1">
      <c r="A14" s="254" t="s">
        <v>220</v>
      </c>
      <c r="B14" s="255" t="s">
        <v>266</v>
      </c>
      <c r="C14" s="256" t="s">
        <v>267</v>
      </c>
      <c r="D14" s="256" t="s">
        <v>268</v>
      </c>
      <c r="E14" s="256" t="s">
        <v>269</v>
      </c>
      <c r="F14" s="256" t="s">
        <v>270</v>
      </c>
      <c r="G14" s="256" t="s">
        <v>271</v>
      </c>
      <c r="H14" s="256" t="s">
        <v>272</v>
      </c>
      <c r="I14" s="257">
        <v>6.78</v>
      </c>
      <c r="J14" s="258">
        <v>1.77</v>
      </c>
      <c r="K14" s="259">
        <v>85</v>
      </c>
      <c r="L14" s="259">
        <v>131</v>
      </c>
      <c r="M14" s="260">
        <v>197</v>
      </c>
      <c r="O14" s="261"/>
      <c r="P14" s="261"/>
      <c r="Q14" s="261"/>
    </row>
    <row r="15" spans="1:17" s="250" customFormat="1" ht="15" customHeight="1">
      <c r="A15" s="254" t="s">
        <v>220</v>
      </c>
      <c r="B15" s="255" t="s">
        <v>273</v>
      </c>
      <c r="C15" s="256" t="s">
        <v>274</v>
      </c>
      <c r="D15" s="256" t="s">
        <v>275</v>
      </c>
      <c r="E15" s="256" t="s">
        <v>276</v>
      </c>
      <c r="F15" s="256" t="s">
        <v>277</v>
      </c>
      <c r="G15" s="256" t="s">
        <v>278</v>
      </c>
      <c r="H15" s="256" t="s">
        <v>279</v>
      </c>
      <c r="I15" s="257">
        <v>8.06</v>
      </c>
      <c r="J15" s="258">
        <v>1.77</v>
      </c>
      <c r="K15" s="259">
        <v>72</v>
      </c>
      <c r="L15" s="259">
        <v>110</v>
      </c>
      <c r="M15" s="260">
        <v>166</v>
      </c>
      <c r="O15" s="261"/>
      <c r="P15" s="261"/>
      <c r="Q15" s="261"/>
    </row>
    <row r="16" spans="1:17" s="250" customFormat="1" ht="15" customHeight="1">
      <c r="A16" s="254" t="s">
        <v>280</v>
      </c>
      <c r="B16" s="255" t="s">
        <v>281</v>
      </c>
      <c r="C16" s="256" t="s">
        <v>282</v>
      </c>
      <c r="D16" s="256" t="s">
        <v>283</v>
      </c>
      <c r="E16" s="256" t="s">
        <v>284</v>
      </c>
      <c r="F16" s="256" t="s">
        <v>285</v>
      </c>
      <c r="G16" s="256" t="s">
        <v>286</v>
      </c>
      <c r="H16" s="256" t="s">
        <v>287</v>
      </c>
      <c r="I16" s="257">
        <v>7.61</v>
      </c>
      <c r="J16" s="258">
        <v>2.06</v>
      </c>
      <c r="K16" s="259">
        <v>88</v>
      </c>
      <c r="L16" s="259">
        <v>136</v>
      </c>
      <c r="M16" s="260">
        <v>204</v>
      </c>
      <c r="O16" s="261"/>
      <c r="P16" s="261"/>
      <c r="Q16" s="261"/>
    </row>
    <row r="17" spans="1:17" s="250" customFormat="1" ht="15" customHeight="1">
      <c r="A17" s="284" t="s">
        <v>347</v>
      </c>
      <c r="B17" s="285" t="s">
        <v>94</v>
      </c>
      <c r="C17" s="286" t="s">
        <v>355</v>
      </c>
      <c r="D17" s="286" t="s">
        <v>349</v>
      </c>
      <c r="E17" s="286" t="s">
        <v>350</v>
      </c>
      <c r="F17" s="286" t="s">
        <v>351</v>
      </c>
      <c r="G17" s="286" t="s">
        <v>352</v>
      </c>
      <c r="H17" s="286" t="s">
        <v>353</v>
      </c>
      <c r="I17" s="287">
        <v>9.01</v>
      </c>
      <c r="J17" s="288">
        <v>2.06</v>
      </c>
      <c r="K17" s="289">
        <v>75</v>
      </c>
      <c r="L17" s="289">
        <v>115</v>
      </c>
      <c r="M17" s="290">
        <v>172</v>
      </c>
      <c r="O17" s="261"/>
      <c r="P17" s="261"/>
      <c r="Q17" s="261"/>
    </row>
    <row r="18" spans="1:17" s="250" customFormat="1" ht="15" customHeight="1" thickBot="1">
      <c r="A18" s="263" t="s">
        <v>280</v>
      </c>
      <c r="B18" s="264" t="s">
        <v>339</v>
      </c>
      <c r="C18" s="265" t="s">
        <v>357</v>
      </c>
      <c r="D18" s="265" t="s">
        <v>358</v>
      </c>
      <c r="E18" s="265" t="s">
        <v>359</v>
      </c>
      <c r="F18" s="265" t="s">
        <v>360</v>
      </c>
      <c r="G18" s="265" t="s">
        <v>356</v>
      </c>
      <c r="H18" s="265" t="s">
        <v>361</v>
      </c>
      <c r="I18" s="266">
        <v>9.81</v>
      </c>
      <c r="J18" s="267">
        <v>2.08</v>
      </c>
      <c r="K18" s="268">
        <v>69</v>
      </c>
      <c r="L18" s="268">
        <v>106</v>
      </c>
      <c r="M18" s="269">
        <v>159</v>
      </c>
      <c r="O18" s="261"/>
      <c r="P18" s="261"/>
      <c r="Q18" s="261"/>
    </row>
    <row r="19" ht="13.5">
      <c r="O19" s="262"/>
    </row>
    <row r="20" spans="1:15" ht="14.25" thickBot="1">
      <c r="A20" s="472" t="s">
        <v>337</v>
      </c>
      <c r="B20" s="472"/>
      <c r="C20" s="472"/>
      <c r="D20" s="472"/>
      <c r="E20" s="472"/>
      <c r="O20" s="262"/>
    </row>
    <row r="21" spans="1:15" s="250" customFormat="1" ht="15" customHeight="1">
      <c r="A21" s="270" t="s">
        <v>288</v>
      </c>
      <c r="B21" s="271" t="s">
        <v>289</v>
      </c>
      <c r="C21" s="272" t="s">
        <v>290</v>
      </c>
      <c r="D21" s="272" t="s">
        <v>291</v>
      </c>
      <c r="E21" s="272" t="s">
        <v>292</v>
      </c>
      <c r="F21" s="272" t="s">
        <v>293</v>
      </c>
      <c r="G21" s="272" t="s">
        <v>294</v>
      </c>
      <c r="H21" s="272" t="s">
        <v>295</v>
      </c>
      <c r="I21" s="273">
        <v>3.54</v>
      </c>
      <c r="J21" s="274">
        <v>0.425</v>
      </c>
      <c r="K21" s="275">
        <v>39</v>
      </c>
      <c r="L21" s="275">
        <v>60</v>
      </c>
      <c r="M21" s="276">
        <v>90</v>
      </c>
      <c r="O21" s="262"/>
    </row>
    <row r="22" spans="1:15" s="250" customFormat="1" ht="15" customHeight="1">
      <c r="A22" s="254" t="s">
        <v>288</v>
      </c>
      <c r="B22" s="255" t="s">
        <v>296</v>
      </c>
      <c r="C22" s="256" t="s">
        <v>297</v>
      </c>
      <c r="D22" s="256" t="s">
        <v>298</v>
      </c>
      <c r="E22" s="256" t="s">
        <v>299</v>
      </c>
      <c r="F22" s="256" t="s">
        <v>300</v>
      </c>
      <c r="G22" s="256" t="s">
        <v>301</v>
      </c>
      <c r="H22" s="256" t="s">
        <v>302</v>
      </c>
      <c r="I22" s="257">
        <v>4.91</v>
      </c>
      <c r="J22" s="258">
        <v>0.67</v>
      </c>
      <c r="K22" s="259">
        <v>45</v>
      </c>
      <c r="L22" s="259">
        <v>69</v>
      </c>
      <c r="M22" s="260">
        <v>103</v>
      </c>
      <c r="O22" s="262"/>
    </row>
    <row r="23" spans="1:15" s="250" customFormat="1" ht="15" customHeight="1">
      <c r="A23" s="254" t="s">
        <v>288</v>
      </c>
      <c r="B23" s="255" t="s">
        <v>303</v>
      </c>
      <c r="C23" s="256" t="s">
        <v>283</v>
      </c>
      <c r="D23" s="256" t="s">
        <v>304</v>
      </c>
      <c r="E23" s="256" t="s">
        <v>305</v>
      </c>
      <c r="F23" s="256" t="s">
        <v>291</v>
      </c>
      <c r="G23" s="256" t="s">
        <v>306</v>
      </c>
      <c r="H23" s="256" t="s">
        <v>307</v>
      </c>
      <c r="I23" s="257">
        <v>4.97</v>
      </c>
      <c r="J23" s="258">
        <v>0.96</v>
      </c>
      <c r="K23" s="259">
        <v>63</v>
      </c>
      <c r="L23" s="259">
        <v>97</v>
      </c>
      <c r="M23" s="260">
        <v>146</v>
      </c>
      <c r="O23" s="262"/>
    </row>
    <row r="24" spans="1:15" s="250" customFormat="1" ht="15" customHeight="1">
      <c r="A24" s="254" t="s">
        <v>288</v>
      </c>
      <c r="B24" s="255" t="s">
        <v>308</v>
      </c>
      <c r="C24" s="256" t="s">
        <v>283</v>
      </c>
      <c r="D24" s="256" t="s">
        <v>304</v>
      </c>
      <c r="E24" s="256" t="s">
        <v>309</v>
      </c>
      <c r="F24" s="256" t="s">
        <v>291</v>
      </c>
      <c r="G24" s="256" t="s">
        <v>306</v>
      </c>
      <c r="H24" s="256" t="s">
        <v>310</v>
      </c>
      <c r="I24" s="257">
        <v>5.93</v>
      </c>
      <c r="J24" s="258">
        <v>0.96</v>
      </c>
      <c r="K24" s="259">
        <v>53</v>
      </c>
      <c r="L24" s="259">
        <v>81</v>
      </c>
      <c r="M24" s="260">
        <v>122</v>
      </c>
      <c r="O24" s="262"/>
    </row>
    <row r="25" spans="1:15" s="250" customFormat="1" ht="15" customHeight="1">
      <c r="A25" s="254" t="s">
        <v>288</v>
      </c>
      <c r="B25" s="255" t="s">
        <v>311</v>
      </c>
      <c r="C25" s="256" t="s">
        <v>312</v>
      </c>
      <c r="D25" s="256" t="s">
        <v>313</v>
      </c>
      <c r="E25" s="256" t="s">
        <v>300</v>
      </c>
      <c r="F25" s="256" t="s">
        <v>314</v>
      </c>
      <c r="G25" s="256" t="s">
        <v>315</v>
      </c>
      <c r="H25" s="256" t="s">
        <v>316</v>
      </c>
      <c r="I25" s="257">
        <v>5.81</v>
      </c>
      <c r="J25" s="258">
        <v>1.14</v>
      </c>
      <c r="K25" s="259">
        <v>64</v>
      </c>
      <c r="L25" s="259">
        <v>99</v>
      </c>
      <c r="M25" s="260">
        <v>148</v>
      </c>
      <c r="O25" s="262"/>
    </row>
    <row r="26" spans="1:15" s="250" customFormat="1" ht="15" customHeight="1">
      <c r="A26" s="254" t="s">
        <v>288</v>
      </c>
      <c r="B26" s="255" t="s">
        <v>317</v>
      </c>
      <c r="C26" s="256" t="s">
        <v>312</v>
      </c>
      <c r="D26" s="256" t="s">
        <v>313</v>
      </c>
      <c r="E26" s="256" t="s">
        <v>318</v>
      </c>
      <c r="F26" s="256" t="s">
        <v>314</v>
      </c>
      <c r="G26" s="256" t="s">
        <v>315</v>
      </c>
      <c r="H26" s="256" t="s">
        <v>319</v>
      </c>
      <c r="I26" s="257">
        <v>6.85</v>
      </c>
      <c r="J26" s="258">
        <v>1.14</v>
      </c>
      <c r="K26" s="259">
        <v>54</v>
      </c>
      <c r="L26" s="259">
        <v>84</v>
      </c>
      <c r="M26" s="260">
        <v>125</v>
      </c>
      <c r="O26" s="262"/>
    </row>
    <row r="27" spans="1:15" s="250" customFormat="1" ht="15" customHeight="1">
      <c r="A27" s="254" t="s">
        <v>288</v>
      </c>
      <c r="B27" s="255" t="s">
        <v>320</v>
      </c>
      <c r="C27" s="256" t="s">
        <v>321</v>
      </c>
      <c r="D27" s="256" t="s">
        <v>322</v>
      </c>
      <c r="E27" s="256" t="s">
        <v>323</v>
      </c>
      <c r="F27" s="256" t="s">
        <v>324</v>
      </c>
      <c r="G27" s="256" t="s">
        <v>325</v>
      </c>
      <c r="H27" s="256" t="s">
        <v>326</v>
      </c>
      <c r="I27" s="257">
        <v>6.25</v>
      </c>
      <c r="J27" s="258">
        <v>1.43</v>
      </c>
      <c r="K27" s="259">
        <v>75</v>
      </c>
      <c r="L27" s="259">
        <v>115</v>
      </c>
      <c r="M27" s="260">
        <v>172</v>
      </c>
      <c r="O27" s="262"/>
    </row>
    <row r="28" spans="1:15" s="250" customFormat="1" ht="15" customHeight="1">
      <c r="A28" s="254" t="s">
        <v>288</v>
      </c>
      <c r="B28" s="255" t="s">
        <v>327</v>
      </c>
      <c r="C28" s="256" t="s">
        <v>321</v>
      </c>
      <c r="D28" s="256" t="s">
        <v>322</v>
      </c>
      <c r="E28" s="256" t="s">
        <v>328</v>
      </c>
      <c r="F28" s="256" t="s">
        <v>324</v>
      </c>
      <c r="G28" s="256" t="s">
        <v>325</v>
      </c>
      <c r="H28" s="256" t="s">
        <v>329</v>
      </c>
      <c r="I28" s="257">
        <v>7.49</v>
      </c>
      <c r="J28" s="258">
        <v>1.43</v>
      </c>
      <c r="K28" s="259">
        <v>62</v>
      </c>
      <c r="L28" s="259">
        <v>96</v>
      </c>
      <c r="M28" s="260">
        <v>144</v>
      </c>
      <c r="O28" s="262"/>
    </row>
    <row r="29" spans="1:15" s="250" customFormat="1" ht="15" customHeight="1">
      <c r="A29" s="254" t="s">
        <v>288</v>
      </c>
      <c r="B29" s="255" t="s">
        <v>330</v>
      </c>
      <c r="C29" s="256" t="s">
        <v>321</v>
      </c>
      <c r="D29" s="256" t="s">
        <v>322</v>
      </c>
      <c r="E29" s="256" t="s">
        <v>331</v>
      </c>
      <c r="F29" s="256" t="s">
        <v>324</v>
      </c>
      <c r="G29" s="256" t="s">
        <v>325</v>
      </c>
      <c r="H29" s="256" t="s">
        <v>332</v>
      </c>
      <c r="I29" s="257">
        <v>8.21</v>
      </c>
      <c r="J29" s="258">
        <v>1.43</v>
      </c>
      <c r="K29" s="259">
        <v>57</v>
      </c>
      <c r="L29" s="259">
        <v>88</v>
      </c>
      <c r="M29" s="260">
        <v>131</v>
      </c>
      <c r="O29" s="262"/>
    </row>
    <row r="30" spans="1:13" ht="15" customHeight="1">
      <c r="A30" s="254" t="s">
        <v>288</v>
      </c>
      <c r="B30" s="255" t="s">
        <v>333</v>
      </c>
      <c r="C30" s="256" t="s">
        <v>274</v>
      </c>
      <c r="D30" s="256" t="s">
        <v>275</v>
      </c>
      <c r="E30" s="256" t="s">
        <v>334</v>
      </c>
      <c r="F30" s="256" t="s">
        <v>277</v>
      </c>
      <c r="G30" s="256" t="s">
        <v>278</v>
      </c>
      <c r="H30" s="256" t="s">
        <v>335</v>
      </c>
      <c r="I30" s="257">
        <v>6.78</v>
      </c>
      <c r="J30" s="258">
        <v>1.77</v>
      </c>
      <c r="K30" s="259">
        <v>85</v>
      </c>
      <c r="L30" s="259">
        <v>131</v>
      </c>
      <c r="M30" s="260">
        <v>197</v>
      </c>
    </row>
    <row r="31" spans="1:13" ht="15" customHeight="1">
      <c r="A31" s="254" t="s">
        <v>288</v>
      </c>
      <c r="B31" s="255" t="s">
        <v>273</v>
      </c>
      <c r="C31" s="256" t="s">
        <v>274</v>
      </c>
      <c r="D31" s="256" t="s">
        <v>275</v>
      </c>
      <c r="E31" s="256" t="s">
        <v>276</v>
      </c>
      <c r="F31" s="256" t="s">
        <v>277</v>
      </c>
      <c r="G31" s="256" t="s">
        <v>278</v>
      </c>
      <c r="H31" s="256" t="s">
        <v>279</v>
      </c>
      <c r="I31" s="257">
        <v>8.06</v>
      </c>
      <c r="J31" s="258">
        <v>1.77</v>
      </c>
      <c r="K31" s="259">
        <v>72</v>
      </c>
      <c r="L31" s="259">
        <v>110</v>
      </c>
      <c r="M31" s="260">
        <v>166</v>
      </c>
    </row>
    <row r="32" spans="1:13" ht="15" customHeight="1">
      <c r="A32" s="254" t="s">
        <v>288</v>
      </c>
      <c r="B32" s="255" t="s">
        <v>281</v>
      </c>
      <c r="C32" s="256" t="s">
        <v>282</v>
      </c>
      <c r="D32" s="256" t="s">
        <v>283</v>
      </c>
      <c r="E32" s="256" t="s">
        <v>284</v>
      </c>
      <c r="F32" s="256" t="s">
        <v>285</v>
      </c>
      <c r="G32" s="256" t="s">
        <v>286</v>
      </c>
      <c r="H32" s="256" t="s">
        <v>287</v>
      </c>
      <c r="I32" s="257">
        <v>7.61</v>
      </c>
      <c r="J32" s="258">
        <v>2.06</v>
      </c>
      <c r="K32" s="259">
        <v>88</v>
      </c>
      <c r="L32" s="259">
        <v>136</v>
      </c>
      <c r="M32" s="260">
        <v>204</v>
      </c>
    </row>
    <row r="33" spans="1:13" ht="15" customHeight="1">
      <c r="A33" s="284" t="s">
        <v>354</v>
      </c>
      <c r="B33" s="285" t="s">
        <v>94</v>
      </c>
      <c r="C33" s="286" t="s">
        <v>348</v>
      </c>
      <c r="D33" s="286" t="s">
        <v>349</v>
      </c>
      <c r="E33" s="286" t="s">
        <v>350</v>
      </c>
      <c r="F33" s="286" t="s">
        <v>351</v>
      </c>
      <c r="G33" s="286" t="s">
        <v>352</v>
      </c>
      <c r="H33" s="286" t="s">
        <v>353</v>
      </c>
      <c r="I33" s="287">
        <v>9.01</v>
      </c>
      <c r="J33" s="288">
        <v>2.06</v>
      </c>
      <c r="K33" s="289">
        <v>75</v>
      </c>
      <c r="L33" s="289">
        <v>115</v>
      </c>
      <c r="M33" s="290">
        <v>172</v>
      </c>
    </row>
    <row r="34" spans="1:13" ht="15" customHeight="1" thickBot="1">
      <c r="A34" s="263" t="s">
        <v>288</v>
      </c>
      <c r="B34" s="264" t="s">
        <v>339</v>
      </c>
      <c r="C34" s="265" t="s">
        <v>357</v>
      </c>
      <c r="D34" s="265" t="s">
        <v>358</v>
      </c>
      <c r="E34" s="265" t="s">
        <v>359</v>
      </c>
      <c r="F34" s="265" t="s">
        <v>360</v>
      </c>
      <c r="G34" s="265" t="s">
        <v>356</v>
      </c>
      <c r="H34" s="265" t="s">
        <v>361</v>
      </c>
      <c r="I34" s="266">
        <v>9.81</v>
      </c>
      <c r="J34" s="267">
        <v>2.08</v>
      </c>
      <c r="K34" s="268">
        <v>69</v>
      </c>
      <c r="L34" s="268">
        <v>106</v>
      </c>
      <c r="M34" s="269">
        <v>159</v>
      </c>
    </row>
  </sheetData>
  <sheetProtection/>
  <mergeCells count="7">
    <mergeCell ref="A20:E20"/>
    <mergeCell ref="A2:Q2"/>
    <mergeCell ref="A3:B4"/>
    <mergeCell ref="C3:H3"/>
    <mergeCell ref="I3:I4"/>
    <mergeCell ref="J3:J4"/>
    <mergeCell ref="K3:M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&amp;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김달중</dc:creator>
  <cp:keywords/>
  <dc:description/>
  <cp:lastModifiedBy>aa</cp:lastModifiedBy>
  <cp:lastPrinted>2011-05-27T07:44:19Z</cp:lastPrinted>
  <dcterms:created xsi:type="dcterms:W3CDTF">2008-03-06T08:59:20Z</dcterms:created>
  <dcterms:modified xsi:type="dcterms:W3CDTF">2014-05-22T06:11:12Z</dcterms:modified>
  <cp:category/>
  <cp:version/>
  <cp:contentType/>
  <cp:contentStatus/>
</cp:coreProperties>
</file>