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60" windowHeight="7995" tabRatio="777" activeTab="1"/>
  </bookViews>
  <sheets>
    <sheet name="E Core Selection Chart" sheetId="1" r:id="rId1"/>
    <sheet name="E Core Design Tool" sheetId="2" r:id="rId2"/>
    <sheet name="E Core Dimension" sheetId="3" state="hidden" r:id="rId3"/>
    <sheet name="E Core Function Parameter" sheetId="4" r:id="rId4"/>
    <sheet name="E Core AL" sheetId="5" state="hidden" r:id="rId5"/>
    <sheet name="E Core Part List" sheetId="6" r:id="rId6"/>
  </sheets>
  <definedNames>
    <definedName name="_xlnm._FilterDatabase" localSheetId="4" hidden="1">'E Core AL'!$B$1:$H$703</definedName>
    <definedName name="_xlnm.Print_Area" localSheetId="1">'E Core Design Tool'!$A$1:$X$78</definedName>
    <definedName name="wire">'E Core AL'!$M$2:$M$3</definedName>
    <definedName name="사이즈">'E Core Dimension'!$A$5:$A$17</definedName>
    <definedName name="재질">'E Core AL'!$L$2:$L$3</definedName>
  </definedNames>
  <calcPr fullCalcOnLoad="1"/>
</workbook>
</file>

<file path=xl/sharedStrings.xml><?xml version="1.0" encoding="utf-8"?>
<sst xmlns="http://schemas.openxmlformats.org/spreadsheetml/2006/main" count="524" uniqueCount="305">
  <si>
    <t>Dimension Table</t>
  </si>
  <si>
    <t>Path length
(cm)</t>
  </si>
  <si>
    <t>Volume
(cc)</t>
  </si>
  <si>
    <t>Material</t>
  </si>
  <si>
    <t>DC Bias parameter</t>
  </si>
  <si>
    <t>Loss Function parameter</t>
  </si>
  <si>
    <t>ui</t>
  </si>
  <si>
    <t>a</t>
  </si>
  <si>
    <t>b</t>
  </si>
  <si>
    <t>c</t>
  </si>
  <si>
    <t>No.</t>
  </si>
  <si>
    <r>
      <t>Path length(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</si>
  <si>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Volume(cc)</t>
  </si>
  <si>
    <r>
      <t>Window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</si>
  <si>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Peak Current (A)</t>
  </si>
  <si>
    <t>Turns</t>
  </si>
  <si>
    <r>
      <t>Wire length/T(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</si>
  <si>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Winding Factor(%)</t>
  </si>
  <si>
    <r>
      <t>Cross Section 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</si>
  <si>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r>
      <t>Window Area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</si>
  <si>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r>
      <t>Surface Area 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</si>
  <si>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0% Winding
length/turn</t>
  </si>
  <si>
    <r>
      <t>Wire Eff Area(</t>
    </r>
    <r>
      <rPr>
        <sz val="10"/>
        <rFont val="돋움"/>
        <family val="3"/>
      </rPr>
      <t>㎟</t>
    </r>
    <r>
      <rPr>
        <sz val="10"/>
        <rFont val="Verdana"/>
        <family val="2"/>
      </rPr>
      <t>)</t>
    </r>
  </si>
  <si>
    <t>Core Loss</t>
  </si>
  <si>
    <t>Current Density</t>
  </si>
  <si>
    <t>DC Bias Parameter</t>
  </si>
  <si>
    <t>ui</t>
  </si>
  <si>
    <t>a</t>
  </si>
  <si>
    <t>b</t>
  </si>
  <si>
    <t>c</t>
  </si>
  <si>
    <t>ui</t>
  </si>
  <si>
    <t>a</t>
  </si>
  <si>
    <t>b</t>
  </si>
  <si>
    <t>Loss Function parameter</t>
  </si>
  <si>
    <t>ΔI</t>
  </si>
  <si>
    <t>Graph range</t>
  </si>
  <si>
    <t>H(Oe)</t>
  </si>
  <si>
    <t>A</t>
  </si>
  <si>
    <t>DC Bias Characteristics</t>
  </si>
  <si>
    <t>Wire Dia(mm)</t>
  </si>
  <si>
    <r>
      <t>Surface Area(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</si>
  <si>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Delta T</t>
  </si>
  <si>
    <r>
      <t>Cross Section
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</si>
  <si>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Lrated / Linitial</t>
  </si>
  <si>
    <t>STACKING</t>
  </si>
  <si>
    <t>`</t>
  </si>
  <si>
    <t>재질</t>
  </si>
  <si>
    <t>사양</t>
  </si>
  <si>
    <t>품번</t>
  </si>
  <si>
    <t>AL</t>
  </si>
  <si>
    <t>사이즈</t>
  </si>
  <si>
    <t>투자율</t>
  </si>
  <si>
    <t>Material</t>
  </si>
  <si>
    <t>Core Loss(W)</t>
  </si>
  <si>
    <t>DC</t>
  </si>
  <si>
    <t>AC</t>
  </si>
  <si>
    <t>Flux Density(G)</t>
  </si>
  <si>
    <t>DC(ΔB/2)</t>
  </si>
  <si>
    <t>Core Loss(mW/cc)</t>
  </si>
  <si>
    <t>AC(ΔB)</t>
  </si>
  <si>
    <t>Current</t>
  </si>
  <si>
    <t>Design Parameter</t>
  </si>
  <si>
    <t>Inductance</t>
  </si>
  <si>
    <r>
      <t>LI</t>
    </r>
    <r>
      <rPr>
        <b/>
        <vertAlign val="superscript"/>
        <sz val="14"/>
        <rFont val="돋움"/>
        <family val="3"/>
      </rPr>
      <t>2</t>
    </r>
  </si>
  <si>
    <t>Total Loss &amp; Delta T</t>
  </si>
  <si>
    <t>B</t>
  </si>
  <si>
    <t>C</t>
  </si>
  <si>
    <t>E</t>
  </si>
  <si>
    <t>F</t>
  </si>
  <si>
    <t>L</t>
  </si>
  <si>
    <t>Core Dimension &amp; Parameter</t>
  </si>
  <si>
    <t>Size(mm)</t>
  </si>
  <si>
    <t>A</t>
  </si>
  <si>
    <t>B</t>
  </si>
  <si>
    <t>C</t>
  </si>
  <si>
    <t>D</t>
  </si>
  <si>
    <t>E</t>
  </si>
  <si>
    <t>F</t>
  </si>
  <si>
    <t>L</t>
  </si>
  <si>
    <t>M</t>
  </si>
  <si>
    <t>1908A</t>
  </si>
  <si>
    <t>2510A</t>
  </si>
  <si>
    <t>3015A</t>
  </si>
  <si>
    <t>3515A</t>
  </si>
  <si>
    <t>4117A</t>
  </si>
  <si>
    <t>4321A</t>
  </si>
  <si>
    <t>4321B</t>
  </si>
  <si>
    <t>4321C</t>
  </si>
  <si>
    <t>5528A</t>
  </si>
  <si>
    <t>5528B</t>
  </si>
  <si>
    <t>6533A</t>
  </si>
  <si>
    <t>7228A</t>
  </si>
  <si>
    <t>8038A</t>
  </si>
  <si>
    <t>SIZE</t>
  </si>
  <si>
    <t>ES(Sendust)</t>
  </si>
  <si>
    <t>EK(MegaFlux)</t>
  </si>
  <si>
    <t>EK(MegaFlux)</t>
  </si>
  <si>
    <t>D min</t>
  </si>
  <si>
    <t>M min</t>
  </si>
  <si>
    <t>AL</t>
  </si>
  <si>
    <t>a</t>
  </si>
  <si>
    <t>b</t>
  </si>
  <si>
    <t>c</t>
  </si>
  <si>
    <t>EK(MegaFlux)</t>
  </si>
  <si>
    <t>E Core Design</t>
  </si>
  <si>
    <t>SIZE</t>
  </si>
  <si>
    <t>Flat Wire</t>
  </si>
  <si>
    <t>Width=</t>
  </si>
  <si>
    <t>Thickness=</t>
  </si>
  <si>
    <t>d</t>
  </si>
  <si>
    <t>c</t>
  </si>
  <si>
    <t>d</t>
  </si>
  <si>
    <r>
      <t>H(Oe)</t>
    </r>
    <r>
      <rPr>
        <sz val="10"/>
        <rFont val="돋움"/>
        <family val="3"/>
      </rPr>
      <t>＼</t>
    </r>
    <r>
      <rPr>
        <sz val="10"/>
        <rFont val="Verdana"/>
        <family val="2"/>
      </rPr>
      <t>AL</t>
    </r>
  </si>
  <si>
    <t>026</t>
  </si>
  <si>
    <t>026</t>
  </si>
  <si>
    <t>040</t>
  </si>
  <si>
    <t>040</t>
  </si>
  <si>
    <t>060</t>
  </si>
  <si>
    <t>060</t>
  </si>
  <si>
    <t>090</t>
  </si>
  <si>
    <t>090</t>
  </si>
  <si>
    <t>ES1908A026</t>
  </si>
  <si>
    <t>ES1908A040</t>
  </si>
  <si>
    <t>ES1908A060</t>
  </si>
  <si>
    <t>ES1908A090</t>
  </si>
  <si>
    <t>ES2510A026</t>
  </si>
  <si>
    <t>ES2510A040</t>
  </si>
  <si>
    <t>ES2510A060</t>
  </si>
  <si>
    <t>ES2510A090</t>
  </si>
  <si>
    <t>ES3015A026</t>
  </si>
  <si>
    <t>ES3015A040</t>
  </si>
  <si>
    <t>ES3015A060</t>
  </si>
  <si>
    <t>ES3015A090</t>
  </si>
  <si>
    <t>ES3515A026</t>
  </si>
  <si>
    <t>ES3515A040</t>
  </si>
  <si>
    <t>ES3515A060</t>
  </si>
  <si>
    <t>ES3515A090</t>
  </si>
  <si>
    <t>ES4117A026</t>
  </si>
  <si>
    <t>ES4117A040</t>
  </si>
  <si>
    <t>ES4117A060</t>
  </si>
  <si>
    <t>ES4117A090</t>
  </si>
  <si>
    <t>ES4321A026</t>
  </si>
  <si>
    <t>ES4321A040</t>
  </si>
  <si>
    <t>ES4321A060</t>
  </si>
  <si>
    <t>ES4321A090</t>
  </si>
  <si>
    <t>ES4321B026</t>
  </si>
  <si>
    <t>ES4321B040</t>
  </si>
  <si>
    <t>ES4321B060</t>
  </si>
  <si>
    <t>ES4321B090</t>
  </si>
  <si>
    <t>ES4321C026</t>
  </si>
  <si>
    <t>ES4321C040</t>
  </si>
  <si>
    <t>ES4321C060</t>
  </si>
  <si>
    <t>ES4321C090</t>
  </si>
  <si>
    <t>ES5528A026</t>
  </si>
  <si>
    <t>ES5528A040</t>
  </si>
  <si>
    <t>ES5528A060</t>
  </si>
  <si>
    <t>ES5528B026</t>
  </si>
  <si>
    <t>ES5528B040</t>
  </si>
  <si>
    <t>ES5528B060</t>
  </si>
  <si>
    <t>ES6533A026</t>
  </si>
  <si>
    <t>ES6533A040</t>
  </si>
  <si>
    <t>ES6533A060</t>
  </si>
  <si>
    <t>ES7228A026</t>
  </si>
  <si>
    <t>ES7228A040</t>
  </si>
  <si>
    <t>ES7228A060</t>
  </si>
  <si>
    <t>ES8038A026</t>
  </si>
  <si>
    <t>ES8038A040</t>
  </si>
  <si>
    <t>ES8038A060</t>
  </si>
  <si>
    <t>EK1908A026</t>
  </si>
  <si>
    <t>EK1908A040</t>
  </si>
  <si>
    <t>EK1908A060</t>
  </si>
  <si>
    <t>EK2510A026</t>
  </si>
  <si>
    <t>EK2510A040</t>
  </si>
  <si>
    <t>EK2510A060</t>
  </si>
  <si>
    <t>EK3015A026</t>
  </si>
  <si>
    <t>EK3015A040</t>
  </si>
  <si>
    <t>EK3015A060</t>
  </si>
  <si>
    <t>EK3515A026</t>
  </si>
  <si>
    <t>EK3515A040</t>
  </si>
  <si>
    <t>EK3515A060</t>
  </si>
  <si>
    <t>EK4117A026</t>
  </si>
  <si>
    <t>EK4117A040</t>
  </si>
  <si>
    <t>EK4117A060</t>
  </si>
  <si>
    <t>EK4321A026</t>
  </si>
  <si>
    <t>EK4321A040</t>
  </si>
  <si>
    <t>EK4321A060</t>
  </si>
  <si>
    <t>EK4321B026</t>
  </si>
  <si>
    <t>EK4321B040</t>
  </si>
  <si>
    <t>EK4321B060</t>
  </si>
  <si>
    <t>EK4321C026</t>
  </si>
  <si>
    <t>EK4321C040</t>
  </si>
  <si>
    <t>EK4321C060</t>
  </si>
  <si>
    <t>EK5528A026</t>
  </si>
  <si>
    <t>EK5528A040</t>
  </si>
  <si>
    <t>EK5528A060</t>
  </si>
  <si>
    <t>EK5528B026</t>
  </si>
  <si>
    <t>EK5528B040</t>
  </si>
  <si>
    <t>EK5528B060</t>
  </si>
  <si>
    <t>EK6533A026</t>
  </si>
  <si>
    <t>EK6533A040</t>
  </si>
  <si>
    <t>EK6533A060</t>
  </si>
  <si>
    <t>EK7228A026</t>
  </si>
  <si>
    <t>EK7228A040</t>
  </si>
  <si>
    <t>EK7228A060</t>
  </si>
  <si>
    <t>EK8038A026</t>
  </si>
  <si>
    <t>EK8038A040</t>
  </si>
  <si>
    <t>EK8038A060</t>
  </si>
  <si>
    <t>Perm.</t>
  </si>
  <si>
    <t>Perm.</t>
  </si>
  <si>
    <t>Total Loss(W)</t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</si>
  <si>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T(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</si>
  <si>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20</t>
    </r>
    <r>
      <rPr>
        <sz val="10"/>
        <rFont val="돋움"/>
        <family val="3"/>
      </rPr>
      <t>℃</t>
    </r>
  </si>
  <si>
    <t>0A</t>
  </si>
  <si>
    <t>~</t>
  </si>
  <si>
    <t>Wire Material</t>
  </si>
  <si>
    <t>Wire Material</t>
  </si>
  <si>
    <t>Copper</t>
  </si>
  <si>
    <t>Aluminum</t>
  </si>
  <si>
    <t>Copper</t>
  </si>
  <si>
    <r>
      <t>Temp of Wire(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</si>
  <si>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Wire Weight(g)</t>
  </si>
  <si>
    <t>P/N</t>
  </si>
  <si>
    <t>Dimensions</t>
  </si>
  <si>
    <t>Path
length   (㎝)</t>
  </si>
  <si>
    <t>Cross
Section
Area     (㎠)</t>
  </si>
  <si>
    <r>
      <t>AL value     (nH/n</t>
    </r>
    <r>
      <rPr>
        <vertAlign val="superscript"/>
        <sz val="9"/>
        <rFont val="돋움"/>
        <family val="3"/>
      </rPr>
      <t>2</t>
    </r>
    <r>
      <rPr>
        <sz val="9"/>
        <rFont val="돋움"/>
        <family val="3"/>
      </rPr>
      <t>)±12%</t>
    </r>
  </si>
  <si>
    <t>A       (mm)</t>
  </si>
  <si>
    <t>B       (mm)</t>
  </si>
  <si>
    <t>C       (mm)</t>
  </si>
  <si>
    <t>D[min]     (mm)</t>
  </si>
  <si>
    <t>E[min]     (mm)</t>
  </si>
  <si>
    <t>F      (mm)</t>
  </si>
  <si>
    <t>L[nom]    (mm)</t>
  </si>
  <si>
    <t>M[min]      (mm)</t>
  </si>
  <si>
    <t>026u</t>
  </si>
  <si>
    <t>040u</t>
  </si>
  <si>
    <t>060u</t>
  </si>
  <si>
    <t>090u</t>
  </si>
  <si>
    <t>ES</t>
  </si>
  <si>
    <t>1908A</t>
  </si>
  <si>
    <t>19.3±0.3</t>
  </si>
  <si>
    <t>8.1±0.2</t>
  </si>
  <si>
    <t>4.8±0.2</t>
  </si>
  <si>
    <t>2510A</t>
  </si>
  <si>
    <t>25.1±0.3</t>
  </si>
  <si>
    <t>9.6±0.2</t>
  </si>
  <si>
    <t>6.5±0.2</t>
  </si>
  <si>
    <t>6.1±0.2</t>
  </si>
  <si>
    <t>3015A</t>
  </si>
  <si>
    <t>30.1±0.3</t>
  </si>
  <si>
    <t>15.0±0.2</t>
  </si>
  <si>
    <t>7.1±0.2</t>
  </si>
  <si>
    <t>7.0±0.2</t>
  </si>
  <si>
    <t>3515A</t>
  </si>
  <si>
    <t>34.5±0.3</t>
  </si>
  <si>
    <t>14.1±0.2</t>
  </si>
  <si>
    <t>9.3±0.2</t>
  </si>
  <si>
    <t>4117A</t>
  </si>
  <si>
    <t>40.9±0.6</t>
  </si>
  <si>
    <t>16.5±0.3</t>
  </si>
  <si>
    <t>12.5±0.3</t>
  </si>
  <si>
    <t>4321A</t>
  </si>
  <si>
    <t>42.8±0.7</t>
  </si>
  <si>
    <t>21.1±0.4</t>
  </si>
  <si>
    <t>10.8±0.3</t>
  </si>
  <si>
    <t>11.7±0.3</t>
  </si>
  <si>
    <t>4321B</t>
  </si>
  <si>
    <t>15.4±0.3</t>
  </si>
  <si>
    <t>4321C</t>
  </si>
  <si>
    <t>20.0±0.3</t>
  </si>
  <si>
    <t>5528A</t>
  </si>
  <si>
    <t>54.9±0.8</t>
  </si>
  <si>
    <t>27.6±0.4</t>
  </si>
  <si>
    <t>20.6±0.4</t>
  </si>
  <si>
    <t>16.8±0.4</t>
  </si>
  <si>
    <t>5528B</t>
  </si>
  <si>
    <t>24.6±0.4</t>
  </si>
  <si>
    <t>6533A</t>
  </si>
  <si>
    <t>65.1±1.0</t>
  </si>
  <si>
    <t>32.5±0.5</t>
  </si>
  <si>
    <t>27.0±0.4</t>
  </si>
  <si>
    <t>19.7±0.4</t>
  </si>
  <si>
    <t>7228A</t>
  </si>
  <si>
    <t>72.4±1.1</t>
  </si>
  <si>
    <t>27.9±0.5</t>
  </si>
  <si>
    <t>19.0±0.4</t>
  </si>
  <si>
    <t>19.1±0.4</t>
  </si>
  <si>
    <t>80.0±1.2</t>
  </si>
  <si>
    <t>38.1±0.6</t>
  </si>
  <si>
    <t>19.8±0.4</t>
  </si>
  <si>
    <t>EK</t>
  </si>
  <si>
    <r>
      <t xml:space="preserve">Sendust : </t>
    </r>
    <r>
      <rPr>
        <b/>
        <sz val="11"/>
        <color indexed="10"/>
        <rFont val="돋움"/>
        <family val="3"/>
      </rPr>
      <t>ES4321A-060</t>
    </r>
    <r>
      <rPr>
        <b/>
        <sz val="11"/>
        <rFont val="돋움"/>
        <family val="3"/>
      </rPr>
      <t>--&gt;</t>
    </r>
    <r>
      <rPr>
        <b/>
        <sz val="11"/>
        <color indexed="10"/>
        <rFont val="돋움"/>
        <family val="3"/>
      </rPr>
      <t>E</t>
    </r>
    <r>
      <rPr>
        <b/>
        <sz val="11"/>
        <rFont val="돋움"/>
        <family val="3"/>
      </rPr>
      <t xml:space="preserve">=E Shape, </t>
    </r>
    <r>
      <rPr>
        <b/>
        <sz val="11"/>
        <color indexed="10"/>
        <rFont val="돋움"/>
        <family val="3"/>
      </rPr>
      <t>S</t>
    </r>
    <r>
      <rPr>
        <b/>
        <sz val="11"/>
        <rFont val="돋움"/>
        <family val="3"/>
      </rPr>
      <t xml:space="preserve">=SENDUST Material, </t>
    </r>
    <r>
      <rPr>
        <b/>
        <sz val="11"/>
        <color indexed="10"/>
        <rFont val="돋움"/>
        <family val="3"/>
      </rPr>
      <t>43</t>
    </r>
    <r>
      <rPr>
        <b/>
        <sz val="11"/>
        <rFont val="돋움"/>
        <family val="3"/>
      </rPr>
      <t xml:space="preserve">=A(Length 42.8), </t>
    </r>
    <r>
      <rPr>
        <b/>
        <sz val="11"/>
        <color indexed="10"/>
        <rFont val="돋움"/>
        <family val="3"/>
      </rPr>
      <t>21</t>
    </r>
    <r>
      <rPr>
        <b/>
        <sz val="11"/>
        <rFont val="돋움"/>
        <family val="3"/>
      </rPr>
      <t xml:space="preserve">=B(Width 21.1), </t>
    </r>
    <r>
      <rPr>
        <b/>
        <sz val="11"/>
        <color indexed="10"/>
        <rFont val="돋움"/>
        <family val="3"/>
      </rPr>
      <t>A</t>
    </r>
    <r>
      <rPr>
        <b/>
        <sz val="11"/>
        <rFont val="돋움"/>
        <family val="3"/>
      </rPr>
      <t xml:space="preserve">=C(Height 20), </t>
    </r>
    <r>
      <rPr>
        <b/>
        <sz val="11"/>
        <color indexed="10"/>
        <rFont val="돋움"/>
        <family val="3"/>
      </rPr>
      <t>060</t>
    </r>
    <r>
      <rPr>
        <b/>
        <sz val="11"/>
        <rFont val="돋움"/>
        <family val="3"/>
      </rPr>
      <t>=Permeability</t>
    </r>
  </si>
  <si>
    <t>Mega Flux : EK4321A-060</t>
  </si>
  <si>
    <t>Multi Ply Wire Dia(mm)</t>
  </si>
  <si>
    <t>Ply</t>
  </si>
  <si>
    <r>
      <rPr>
        <sz val="10"/>
        <rFont val="돋움"/>
        <family val="3"/>
      </rPr>
      <t>→</t>
    </r>
    <r>
      <rPr>
        <sz val="10"/>
        <rFont val="Verdana"/>
        <family val="2"/>
      </rPr>
      <t xml:space="preserve">  Multi Ply Wire Area(</t>
    </r>
    <r>
      <rPr>
        <sz val="10"/>
        <rFont val="돋움"/>
        <family val="3"/>
      </rPr>
      <t>㎟</t>
    </r>
    <r>
      <rPr>
        <sz val="10"/>
        <rFont val="Verdana"/>
        <family val="2"/>
      </rPr>
      <t>)</t>
    </r>
  </si>
  <si>
    <t>Curr.</t>
  </si>
  <si>
    <t>L@Ipeak</t>
  </si>
  <si>
    <t>Wire loss @Irms (W)</t>
  </si>
  <si>
    <t>Wire loss @Ipeak (W)</t>
  </si>
  <si>
    <t>RMS Current (A)</t>
  </si>
  <si>
    <t>Frequency (kHz)</t>
  </si>
  <si>
    <t>Ripple Current (ΔI)</t>
  </si>
  <si>
    <t>Required L(uH) @ Ipeak</t>
  </si>
  <si>
    <t>4321A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</si>
</sst>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 "/>
    <numFmt numFmtId="178" formatCode="0.00_);[Red]\(0.00\)"/>
    <numFmt numFmtId="179" formatCode="0.0_ "/>
    <numFmt numFmtId="180" formatCode="0.00_ "/>
    <numFmt numFmtId="181" formatCode="0.000_ "/>
    <numFmt numFmtId="182" formatCode="_-* #,##0.00_-;\-* #,##0.00_-;_-* &quot;-&quot;_-;_-@_-"/>
    <numFmt numFmtId="183" formatCode="_-* #,##0.0000_-;\-* #,##0.0000_-;_-* &quot;-&quot;_-;_-@_-"/>
    <numFmt numFmtId="184" formatCode="_-* #,##0.000_-;\-* #,##0.000_-;_-* &quot;-&quot;_-;_-@_-"/>
    <numFmt numFmtId="185" formatCode="0.000"/>
    <numFmt numFmtId="186" formatCode="_-* #,##0.0_-;\-* #,##0.0_-;_-* &quot;-&quot;_-;_-@_-"/>
    <numFmt numFmtId="187" formatCode="_-* #,##0.000_-;\-* #,##0.000_-;_-* &quot;-&quot;???_-;_-@_-"/>
    <numFmt numFmtId="188" formatCode="###\ &quot;A/㎟&quot;"/>
    <numFmt numFmtId="189" formatCode="0##\ &quot;A&quot;"/>
    <numFmt numFmtId="190" formatCode="###\ &quot;A&quot;"/>
    <numFmt numFmtId="191" formatCode="#,###"/>
    <numFmt numFmtId="192" formatCode="_-* #,##0.0_-;\-* #,##0.0_-;_-* &quot;-&quot;??_-;_-@_-"/>
    <numFmt numFmtId="193" formatCode="_-* #,##0.0_-;\-* #,##0.0_-;_-* &quot;-&quot;???_-;_-@_-"/>
    <numFmt numFmtId="194" formatCode="###\ &quot;μ&quot;"/>
    <numFmt numFmtId="195" formatCode="0#,###"/>
    <numFmt numFmtId="196" formatCode="###.0\ &quot;A/㎟&quot;"/>
    <numFmt numFmtId="197" formatCode="_-* #,##0.0_-;\-* #,##0.0_-;_-* &quot;-&quot;?_-;_-@_-"/>
    <numFmt numFmtId="198" formatCode="###.00\ &quot;A/㎟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0_ "/>
    <numFmt numFmtId="205" formatCode="_-* #,##0.00_-;\-* #,##0.00_-;_-* &quot;-&quot;???_-;_-@_-"/>
    <numFmt numFmtId="206" formatCode="###.00\ &quot;μH&quot;"/>
    <numFmt numFmtId="207" formatCode="###.0\ &quot;μH&quot;"/>
    <numFmt numFmtId="208" formatCode="###.0\ &quot;A&quot;"/>
    <numFmt numFmtId="209" formatCode="####.0\ &quot;μH&quot;"/>
    <numFmt numFmtId="210" formatCode="#,###.0\ &quot;μH&quot;"/>
    <numFmt numFmtId="211" formatCode="0_);[Red]\(0\)"/>
    <numFmt numFmtId="212" formatCode="###0.0\ &quot;mm&quot;"/>
    <numFmt numFmtId="213" formatCode="###"/>
    <numFmt numFmtId="214" formatCode="###\ &quot;mH&quot;"/>
    <numFmt numFmtId="215" formatCode="0.0%"/>
    <numFmt numFmtId="216" formatCode="_-* #,##0.000000_-;\-* #,##0.000000_-;_-* &quot;-&quot;??????_-;_-@_-"/>
    <numFmt numFmtId="217" formatCode="#,###\ &quot;μH&quot;"/>
    <numFmt numFmtId="218" formatCode="0.0\ &quot;μH&quot;"/>
    <numFmt numFmtId="219" formatCode="&quot;Φ&quot;\ 0.00"/>
    <numFmt numFmtId="220" formatCode="#\ &quot;P&quot;"/>
    <numFmt numFmtId="221" formatCode="0#,###.0"/>
    <numFmt numFmtId="222" formatCode="0\ &quot;A&quot;"/>
    <numFmt numFmtId="223" formatCode="0.0\ &quot;A&quot;"/>
    <numFmt numFmtId="224" formatCode="[$-412]yyyy&quot;년&quot;\ m&quot;월&quot;\ d&quot;일&quot;\ dddd"/>
    <numFmt numFmtId="225" formatCode="[$-412]AM/PM\ h:mm:ss"/>
    <numFmt numFmtId="226" formatCode="0.0_);[Red]\(0.0\)"/>
  </numFmts>
  <fonts count="118">
    <font>
      <sz val="11"/>
      <name val="돋움"/>
      <family val="3"/>
    </font>
    <font>
      <sz val="11"/>
      <color indexed="8"/>
      <name val="맑은 고딕"/>
      <family val="3"/>
    </font>
    <font>
      <b/>
      <sz val="14"/>
      <name val="Arial"/>
      <family val="2"/>
    </font>
    <font>
      <sz val="8"/>
      <name val="돋움"/>
      <family val="3"/>
    </font>
    <font>
      <b/>
      <sz val="18"/>
      <name val="Verdana"/>
      <family val="2"/>
    </font>
    <font>
      <sz val="12"/>
      <name val="돋움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돋움"/>
      <family val="3"/>
    </font>
    <font>
      <sz val="11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1"/>
      <color indexed="9"/>
      <name val="돋움"/>
      <family val="3"/>
    </font>
    <font>
      <b/>
      <sz val="11"/>
      <name val="돋움"/>
      <family val="3"/>
    </font>
    <font>
      <b/>
      <sz val="11"/>
      <color indexed="10"/>
      <name val="Verdana"/>
      <family val="2"/>
    </font>
    <font>
      <b/>
      <i/>
      <sz val="10"/>
      <name val="Verdana"/>
      <family val="2"/>
    </font>
    <font>
      <b/>
      <u val="single"/>
      <sz val="11"/>
      <name val="돋움"/>
      <family val="3"/>
    </font>
    <font>
      <sz val="10"/>
      <name val="Arial Unicode MS"/>
      <family val="3"/>
    </font>
    <font>
      <sz val="20.5"/>
      <color indexed="8"/>
      <name val="돋움"/>
      <family val="3"/>
    </font>
    <font>
      <b/>
      <sz val="10"/>
      <name val="Verdana"/>
      <family val="2"/>
    </font>
    <font>
      <b/>
      <sz val="11"/>
      <color indexed="56"/>
      <name val="돋움"/>
      <family val="3"/>
    </font>
    <font>
      <sz val="10"/>
      <color indexed="9"/>
      <name val="돋움"/>
      <family val="3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돋움"/>
      <family val="3"/>
    </font>
    <font>
      <b/>
      <sz val="12"/>
      <color indexed="8"/>
      <name val="맑은 고딕"/>
      <family val="3"/>
    </font>
    <font>
      <sz val="8"/>
      <name val="Verdana"/>
      <family val="2"/>
    </font>
    <font>
      <b/>
      <sz val="14"/>
      <name val="돋움"/>
      <family val="3"/>
    </font>
    <font>
      <b/>
      <vertAlign val="superscript"/>
      <sz val="14"/>
      <name val="돋움"/>
      <family val="3"/>
    </font>
    <font>
      <b/>
      <sz val="12"/>
      <name val="돋움"/>
      <family val="3"/>
    </font>
    <font>
      <sz val="8"/>
      <name val="맑은 고딕"/>
      <family val="3"/>
    </font>
    <font>
      <b/>
      <sz val="11"/>
      <color indexed="10"/>
      <name val="돋움"/>
      <family val="3"/>
    </font>
    <font>
      <sz val="9"/>
      <name val="돋움"/>
      <family val="3"/>
    </font>
    <font>
      <vertAlign val="superscript"/>
      <sz val="9"/>
      <name val="돋움"/>
      <family val="3"/>
    </font>
    <font>
      <sz val="9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돋움"/>
      <family val="3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9"/>
      <color indexed="9"/>
      <name val="Verdana"/>
      <family val="2"/>
    </font>
    <font>
      <b/>
      <sz val="12"/>
      <color indexed="12"/>
      <name val="Verdana"/>
      <family val="2"/>
    </font>
    <font>
      <b/>
      <sz val="11"/>
      <color indexed="9"/>
      <name val="Verdana"/>
      <family val="2"/>
    </font>
    <font>
      <sz val="10"/>
      <color indexed="48"/>
      <name val="Verdana"/>
      <family val="2"/>
    </font>
    <font>
      <sz val="10"/>
      <color indexed="8"/>
      <name val="Arial Unicode MS"/>
      <family val="3"/>
    </font>
    <font>
      <sz val="11"/>
      <color indexed="8"/>
      <name val="돋움"/>
      <family val="3"/>
    </font>
    <font>
      <b/>
      <sz val="12"/>
      <color indexed="10"/>
      <name val="Verdana"/>
      <family val="2"/>
    </font>
    <font>
      <b/>
      <sz val="14"/>
      <color indexed="48"/>
      <name val="돋움"/>
      <family val="3"/>
    </font>
    <font>
      <b/>
      <sz val="14"/>
      <color indexed="10"/>
      <name val="돋움"/>
      <family val="3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0"/>
      <color indexed="12"/>
      <name val="Arial Unicode MS"/>
      <family val="3"/>
    </font>
    <font>
      <b/>
      <sz val="10"/>
      <color indexed="48"/>
      <name val="Verdana"/>
      <family val="2"/>
    </font>
    <font>
      <sz val="10"/>
      <color indexed="22"/>
      <name val="돋움"/>
      <family val="3"/>
    </font>
    <font>
      <b/>
      <sz val="11"/>
      <color indexed="48"/>
      <name val="Verdana"/>
      <family val="2"/>
    </font>
    <font>
      <b/>
      <i/>
      <sz val="10"/>
      <color indexed="8"/>
      <name val="Verdana"/>
      <family val="2"/>
    </font>
    <font>
      <sz val="11.25"/>
      <color indexed="8"/>
      <name val="Verdana"/>
      <family val="2"/>
    </font>
    <font>
      <b/>
      <sz val="16"/>
      <color indexed="8"/>
      <name val="Verdana"/>
      <family val="2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돋움"/>
      <family val="3"/>
    </font>
    <font>
      <sz val="10"/>
      <color theme="1"/>
      <name val="돋움"/>
      <family val="3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9"/>
      <color theme="0"/>
      <name val="Verdana"/>
      <family val="2"/>
    </font>
    <font>
      <b/>
      <sz val="12"/>
      <color rgb="FF0000FF"/>
      <name val="Verdana"/>
      <family val="2"/>
    </font>
    <font>
      <sz val="11"/>
      <color theme="0"/>
      <name val="돋움"/>
      <family val="3"/>
    </font>
    <font>
      <b/>
      <sz val="11"/>
      <color theme="0"/>
      <name val="Verdana"/>
      <family val="2"/>
    </font>
    <font>
      <sz val="10"/>
      <color rgb="FF3366FF"/>
      <name val="Verdana"/>
      <family val="2"/>
    </font>
    <font>
      <sz val="10"/>
      <color theme="1"/>
      <name val="Verdana"/>
      <family val="2"/>
    </font>
    <font>
      <sz val="10"/>
      <color theme="1"/>
      <name val="Arial Unicode MS"/>
      <family val="3"/>
    </font>
    <font>
      <sz val="11"/>
      <color theme="1"/>
      <name val="돋움"/>
      <family val="3"/>
    </font>
    <font>
      <b/>
      <sz val="10"/>
      <color theme="1"/>
      <name val="Verdana"/>
      <family val="2"/>
    </font>
    <font>
      <b/>
      <sz val="12"/>
      <color rgb="FFFF0000"/>
      <name val="Verdana"/>
      <family val="2"/>
    </font>
    <font>
      <b/>
      <sz val="14"/>
      <color rgb="FF3366FF"/>
      <name val="돋움"/>
      <family val="3"/>
    </font>
    <font>
      <b/>
      <sz val="14"/>
      <color rgb="FFFF0000"/>
      <name val="돋움"/>
      <family val="3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0"/>
      <color rgb="FF0000FF"/>
      <name val="Arial Unicode MS"/>
      <family val="3"/>
    </font>
    <font>
      <b/>
      <sz val="10"/>
      <color rgb="FF3366FF"/>
      <name val="Verdana"/>
      <family val="2"/>
    </font>
    <font>
      <sz val="10"/>
      <color rgb="FF3333FF"/>
      <name val="Verdana"/>
      <family val="2"/>
    </font>
    <font>
      <sz val="10"/>
      <color theme="0" tint="-0.04997999966144562"/>
      <name val="돋움"/>
      <family val="3"/>
    </font>
    <font>
      <b/>
      <sz val="10"/>
      <color rgb="FF3333FF"/>
      <name val="Verdana"/>
      <family val="2"/>
    </font>
    <font>
      <b/>
      <sz val="11"/>
      <color rgb="FF3333FF"/>
      <name val="Verdana"/>
      <family val="2"/>
    </font>
    <font>
      <b/>
      <i/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 style="thin">
        <color theme="1"/>
      </top>
      <bottom style="thick">
        <color rgb="FF0000F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0000FF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ck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 style="medium"/>
      <top style="thick"/>
      <bottom style="thick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ck"/>
    </border>
    <border>
      <left style="medium"/>
      <right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>
        <color indexed="63"/>
      </top>
      <bottom style="thin">
        <color theme="1"/>
      </bottom>
    </border>
    <border>
      <left style="thin"/>
      <right style="thick">
        <color rgb="FF3333FF"/>
      </right>
      <top>
        <color indexed="63"/>
      </top>
      <bottom style="thin">
        <color theme="1"/>
      </bottom>
    </border>
    <border>
      <left style="thick"/>
      <right style="thick">
        <color rgb="FF0000FF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/>
      <top style="thin"/>
      <bottom>
        <color indexed="63"/>
      </bottom>
    </border>
    <border>
      <left/>
      <right style="thin"/>
      <top style="thin"/>
      <bottom style="thick"/>
    </border>
    <border>
      <left style="thick"/>
      <right/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rgb="FF0000FF"/>
      </left>
      <right style="thin"/>
      <top/>
      <bottom style="thin"/>
    </border>
    <border>
      <left style="thick"/>
      <right/>
      <top style="thick"/>
      <bottom style="thick"/>
    </border>
    <border>
      <left style="thick">
        <color rgb="FF0000FF"/>
      </left>
      <right style="thin">
        <color theme="1"/>
      </right>
      <top style="thin">
        <color theme="1"/>
      </top>
      <bottom style="thick">
        <color rgb="FF0000FF"/>
      </bottom>
    </border>
    <border>
      <left style="thick">
        <color rgb="FF0000FF"/>
      </left>
      <right/>
      <top style="thick"/>
      <bottom style="thick"/>
    </border>
    <border>
      <left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/>
      <top>
        <color indexed="63"/>
      </top>
      <bottom style="thick"/>
    </border>
    <border>
      <left style="medium"/>
      <right/>
      <top>
        <color indexed="63"/>
      </top>
      <bottom style="medium"/>
    </border>
    <border>
      <left style="thick">
        <color rgb="FF0000FF"/>
      </left>
      <right style="thin"/>
      <top style="thin"/>
      <bottom/>
    </border>
    <border>
      <left/>
      <right/>
      <top style="thin"/>
      <bottom style="thin"/>
    </border>
    <border>
      <left style="thick">
        <color rgb="FF0000FF"/>
      </left>
      <right/>
      <top style="thin"/>
      <bottom style="thin"/>
    </border>
    <border>
      <left/>
      <right>
        <color indexed="63"/>
      </right>
      <top style="thin"/>
      <bottom style="thick"/>
    </border>
    <border>
      <left style="thick">
        <color rgb="FF0000FF"/>
      </left>
      <right/>
      <top style="thin"/>
      <bottom>
        <color indexed="63"/>
      </bottom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ck">
        <color rgb="FF0000FF"/>
      </left>
      <right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31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  <xf numFmtId="0" fontId="9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93" fillId="0" borderId="0" applyNumberFormat="0" applyFill="0" applyBorder="0" applyAlignment="0" applyProtection="0"/>
  </cellStyleXfs>
  <cellXfs count="51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182" fontId="10" fillId="0" borderId="10" xfId="48" applyNumberFormat="1" applyFont="1" applyBorder="1" applyAlignment="1">
      <alignment horizontal="center"/>
    </xf>
    <xf numFmtId="183" fontId="10" fillId="0" borderId="10" xfId="48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4" fontId="10" fillId="0" borderId="10" xfId="48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1" fontId="0" fillId="0" borderId="0" xfId="0" applyNumberFormat="1" applyBorder="1" applyAlignment="1">
      <alignment vertical="center"/>
    </xf>
    <xf numFmtId="11" fontId="5" fillId="0" borderId="0" xfId="0" applyNumberFormat="1" applyFont="1" applyBorder="1" applyAlignment="1">
      <alignment horizontal="center" vertical="top" wrapText="1"/>
    </xf>
    <xf numFmtId="1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63" applyFont="1" applyAlignment="1">
      <alignment horizontal="center" vertical="center"/>
      <protection/>
    </xf>
    <xf numFmtId="0" fontId="22" fillId="0" borderId="0" xfId="63" applyFont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4" fillId="0" borderId="0" xfId="63" applyFont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43" fontId="8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41" fontId="21" fillId="0" borderId="0" xfId="48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179" fontId="15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 quotePrefix="1">
      <alignment vertical="center"/>
      <protection hidden="1"/>
    </xf>
    <xf numFmtId="186" fontId="10" fillId="0" borderId="0" xfId="48" applyNumberFormat="1" applyFont="1" applyAlignment="1" applyProtection="1" quotePrefix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 quotePrefix="1">
      <alignment vertical="center"/>
      <protection hidden="1"/>
    </xf>
    <xf numFmtId="194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48" applyFont="1" applyBorder="1" applyAlignment="1" applyProtection="1">
      <alignment horizontal="center" vertical="center"/>
      <protection hidden="1"/>
    </xf>
    <xf numFmtId="9" fontId="8" fillId="0" borderId="0" xfId="43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1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0" applyNumberFormat="1" applyFont="1" applyBorder="1" applyAlignment="1" applyProtection="1">
      <alignment vertical="center"/>
      <protection hidden="1"/>
    </xf>
    <xf numFmtId="187" fontId="8" fillId="0" borderId="0" xfId="0" applyNumberFormat="1" applyFont="1" applyBorder="1" applyAlignment="1" applyProtection="1">
      <alignment vertical="center"/>
      <protection hidden="1"/>
    </xf>
    <xf numFmtId="41" fontId="8" fillId="0" borderId="0" xfId="48" applyFont="1" applyFill="1" applyBorder="1" applyAlignment="1" applyProtection="1">
      <alignment horizontal="center" vertical="center"/>
      <protection hidden="1"/>
    </xf>
    <xf numFmtId="41" fontId="8" fillId="0" borderId="0" xfId="48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91" fontId="8" fillId="0" borderId="0" xfId="48" applyNumberFormat="1" applyFont="1" applyBorder="1" applyAlignment="1" applyProtection="1">
      <alignment horizontal="center" vertical="center"/>
      <protection hidden="1"/>
    </xf>
    <xf numFmtId="186" fontId="20" fillId="33" borderId="14" xfId="48" applyNumberFormat="1" applyFont="1" applyFill="1" applyBorder="1" applyAlignment="1" applyProtection="1">
      <alignment horizontal="center" vertical="center"/>
      <protection locked="0"/>
    </xf>
    <xf numFmtId="41" fontId="26" fillId="33" borderId="14" xfId="48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hidden="1"/>
    </xf>
    <xf numFmtId="41" fontId="7" fillId="0" borderId="0" xfId="48" applyFont="1" applyBorder="1" applyAlignment="1" applyProtection="1">
      <alignment vertical="center"/>
      <protection hidden="1"/>
    </xf>
    <xf numFmtId="0" fontId="95" fillId="0" borderId="0" xfId="0" applyFont="1" applyFill="1" applyBorder="1" applyAlignment="1" applyProtection="1">
      <alignment horizontal="center" vertical="center"/>
      <protection hidden="1"/>
    </xf>
    <xf numFmtId="194" fontId="95" fillId="0" borderId="0" xfId="0" applyNumberFormat="1" applyFont="1" applyFill="1" applyBorder="1" applyAlignment="1" applyProtection="1">
      <alignment horizontal="center" vertical="center"/>
      <protection hidden="1"/>
    </xf>
    <xf numFmtId="191" fontId="95" fillId="0" borderId="0" xfId="48" applyNumberFormat="1" applyFont="1" applyFill="1" applyBorder="1" applyAlignment="1" applyProtection="1">
      <alignment horizontal="center" vertical="center"/>
      <protection hidden="1"/>
    </xf>
    <xf numFmtId="41" fontId="95" fillId="0" borderId="0" xfId="48" applyFont="1" applyFill="1" applyBorder="1" applyAlignment="1" applyProtection="1">
      <alignment horizontal="center" vertical="center"/>
      <protection hidden="1"/>
    </xf>
    <xf numFmtId="41" fontId="96" fillId="0" borderId="0" xfId="48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1" fontId="97" fillId="0" borderId="0" xfId="48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8" fillId="0" borderId="0" xfId="0" applyFont="1" applyAlignment="1" applyProtection="1">
      <alignment vertical="center"/>
      <protection hidden="1"/>
    </xf>
    <xf numFmtId="41" fontId="8" fillId="34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80" fontId="8" fillId="0" borderId="0" xfId="0" applyNumberFormat="1" applyFont="1" applyBorder="1" applyAlignment="1" applyProtection="1">
      <alignment horizontal="center" vertical="center"/>
      <protection hidden="1"/>
    </xf>
    <xf numFmtId="181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41" fontId="8" fillId="0" borderId="0" xfId="48" applyFont="1" applyFill="1" applyBorder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194" fontId="8" fillId="0" borderId="0" xfId="0" applyNumberFormat="1" applyFont="1" applyFill="1" applyBorder="1" applyAlignment="1" applyProtection="1">
      <alignment vertical="center"/>
      <protection hidden="1"/>
    </xf>
    <xf numFmtId="41" fontId="8" fillId="34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186" fontId="8" fillId="0" borderId="0" xfId="48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86" fontId="8" fillId="0" borderId="0" xfId="48" applyNumberFormat="1" applyFont="1" applyFill="1" applyBorder="1" applyAlignment="1" applyProtection="1">
      <alignment vertical="center"/>
      <protection hidden="1"/>
    </xf>
    <xf numFmtId="43" fontId="23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43" fontId="18" fillId="0" borderId="0" xfId="0" applyNumberFormat="1" applyFont="1" applyBorder="1" applyAlignment="1" applyProtection="1">
      <alignment vertical="center"/>
      <protection hidden="1"/>
    </xf>
    <xf numFmtId="41" fontId="18" fillId="0" borderId="0" xfId="48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99" fillId="0" borderId="0" xfId="0" applyFont="1" applyAlignment="1" applyProtection="1">
      <alignment vertical="center"/>
      <protection hidden="1"/>
    </xf>
    <xf numFmtId="0" fontId="99" fillId="0" borderId="0" xfId="0" applyFont="1" applyFill="1" applyAlignment="1" applyProtection="1">
      <alignment vertical="center"/>
      <protection hidden="1"/>
    </xf>
    <xf numFmtId="0" fontId="100" fillId="0" borderId="0" xfId="0" applyFont="1" applyFill="1" applyAlignment="1" applyProtection="1">
      <alignment vertical="center"/>
      <protection hidden="1"/>
    </xf>
    <xf numFmtId="41" fontId="20" fillId="33" borderId="14" xfId="48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 quotePrefix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43" fontId="101" fillId="0" borderId="0" xfId="0" applyNumberFormat="1" applyFont="1" applyFill="1" applyBorder="1" applyAlignment="1" applyProtection="1">
      <alignment vertical="center"/>
      <protection hidden="1"/>
    </xf>
    <xf numFmtId="0" fontId="101" fillId="0" borderId="0" xfId="0" applyFont="1" applyBorder="1" applyAlignment="1" applyProtection="1">
      <alignment horizontal="center" vertical="center"/>
      <protection hidden="1"/>
    </xf>
    <xf numFmtId="41" fontId="26" fillId="0" borderId="0" xfId="48" applyFont="1" applyFill="1" applyBorder="1" applyAlignment="1" applyProtection="1">
      <alignment vertical="center"/>
      <protection hidden="1"/>
    </xf>
    <xf numFmtId="182" fontId="8" fillId="0" borderId="0" xfId="48" applyNumberFormat="1" applyFont="1" applyFill="1" applyBorder="1" applyAlignment="1" applyProtection="1">
      <alignment vertical="center"/>
      <protection hidden="1"/>
    </xf>
    <xf numFmtId="186" fontId="20" fillId="0" borderId="0" xfId="48" applyNumberFormat="1" applyFont="1" applyFill="1" applyBorder="1" applyAlignment="1" applyProtection="1">
      <alignment vertical="center"/>
      <protection hidden="1"/>
    </xf>
    <xf numFmtId="41" fontId="102" fillId="0" borderId="0" xfId="48" applyFont="1" applyBorder="1" applyAlignment="1" applyProtection="1">
      <alignment horizontal="center" vertical="center"/>
      <protection hidden="1"/>
    </xf>
    <xf numFmtId="0" fontId="94" fillId="0" borderId="0" xfId="0" applyFont="1" applyBorder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102" fillId="0" borderId="0" xfId="0" applyFont="1" applyBorder="1" applyAlignment="1" applyProtection="1">
      <alignment horizontal="center" vertical="center"/>
      <protection hidden="1"/>
    </xf>
    <xf numFmtId="41" fontId="102" fillId="0" borderId="0" xfId="0" applyNumberFormat="1" applyFont="1" applyBorder="1" applyAlignment="1" applyProtection="1">
      <alignment horizontal="center" vertical="center"/>
      <protection hidden="1"/>
    </xf>
    <xf numFmtId="41" fontId="102" fillId="0" borderId="0" xfId="0" applyNumberFormat="1" applyFont="1" applyBorder="1" applyAlignment="1" applyProtection="1">
      <alignment vertical="center"/>
      <protection hidden="1"/>
    </xf>
    <xf numFmtId="0" fontId="102" fillId="34" borderId="0" xfId="0" applyFont="1" applyFill="1" applyBorder="1" applyAlignment="1" applyProtection="1">
      <alignment vertical="center"/>
      <protection hidden="1"/>
    </xf>
    <xf numFmtId="43" fontId="103" fillId="0" borderId="0" xfId="0" applyNumberFormat="1" applyFont="1" applyBorder="1" applyAlignment="1" applyProtection="1">
      <alignment vertical="center"/>
      <protection hidden="1"/>
    </xf>
    <xf numFmtId="41" fontId="103" fillId="0" borderId="0" xfId="48" applyFont="1" applyBorder="1" applyAlignment="1" applyProtection="1">
      <alignment vertical="center"/>
      <protection hidden="1"/>
    </xf>
    <xf numFmtId="0" fontId="104" fillId="0" borderId="0" xfId="0" applyFont="1" applyAlignment="1" applyProtection="1">
      <alignment vertical="center"/>
      <protection hidden="1"/>
    </xf>
    <xf numFmtId="0" fontId="104" fillId="0" borderId="0" xfId="0" applyFont="1" applyFill="1" applyAlignment="1" applyProtection="1">
      <alignment vertical="center"/>
      <protection hidden="1"/>
    </xf>
    <xf numFmtId="41" fontId="102" fillId="0" borderId="0" xfId="48" applyFont="1" applyFill="1" applyBorder="1" applyAlignment="1" applyProtection="1">
      <alignment horizontal="center" vertical="center"/>
      <protection hidden="1"/>
    </xf>
    <xf numFmtId="0" fontId="104" fillId="0" borderId="0" xfId="0" applyFont="1" applyFill="1" applyBorder="1" applyAlignment="1" applyProtection="1">
      <alignment vertical="center"/>
      <protection hidden="1"/>
    </xf>
    <xf numFmtId="194" fontId="102" fillId="0" borderId="0" xfId="0" applyNumberFormat="1" applyFont="1" applyFill="1" applyBorder="1" applyAlignment="1" applyProtection="1">
      <alignment horizontal="center" vertical="center"/>
      <protection hidden="1"/>
    </xf>
    <xf numFmtId="41" fontId="105" fillId="0" borderId="0" xfId="48" applyNumberFormat="1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vertical="center"/>
      <protection hidden="1"/>
    </xf>
    <xf numFmtId="0" fontId="106" fillId="0" borderId="0" xfId="0" applyFont="1" applyAlignment="1" applyProtection="1">
      <alignment vertical="center"/>
      <protection hidden="1"/>
    </xf>
    <xf numFmtId="41" fontId="8" fillId="34" borderId="19" xfId="0" applyNumberFormat="1" applyFont="1" applyFill="1" applyBorder="1" applyAlignment="1" applyProtection="1">
      <alignment horizontal="center" vertical="center"/>
      <protection hidden="1"/>
    </xf>
    <xf numFmtId="4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28" fillId="0" borderId="21" xfId="0" applyFont="1" applyBorder="1" applyAlignment="1">
      <alignment horizontal="center" vertical="center"/>
    </xf>
    <xf numFmtId="210" fontId="107" fillId="0" borderId="21" xfId="0" applyNumberFormat="1" applyFont="1" applyBorder="1" applyAlignment="1">
      <alignment vertical="center"/>
    </xf>
    <xf numFmtId="208" fontId="107" fillId="0" borderId="21" xfId="0" applyNumberFormat="1" applyFont="1" applyBorder="1" applyAlignment="1">
      <alignment vertical="center"/>
    </xf>
    <xf numFmtId="0" fontId="108" fillId="0" borderId="21" xfId="0" applyFont="1" applyBorder="1" applyAlignment="1">
      <alignment vertical="center"/>
    </xf>
    <xf numFmtId="0" fontId="0" fillId="0" borderId="22" xfId="0" applyBorder="1" applyAlignment="1" applyProtection="1">
      <alignment vertical="center"/>
      <protection hidden="1"/>
    </xf>
    <xf numFmtId="0" fontId="8" fillId="0" borderId="22" xfId="0" applyFont="1" applyBorder="1" applyAlignment="1" applyProtection="1">
      <alignment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41" fontId="26" fillId="0" borderId="0" xfId="48" applyFont="1" applyFill="1" applyBorder="1" applyAlignment="1" applyProtection="1">
      <alignment vertical="center"/>
      <protection locked="0"/>
    </xf>
    <xf numFmtId="186" fontId="109" fillId="6" borderId="23" xfId="48" applyNumberFormat="1" applyFont="1" applyFill="1" applyBorder="1" applyAlignment="1" applyProtection="1">
      <alignment horizontal="center" vertical="center"/>
      <protection hidden="1"/>
    </xf>
    <xf numFmtId="41" fontId="110" fillId="6" borderId="24" xfId="48" applyNumberFormat="1" applyFont="1" applyFill="1" applyBorder="1" applyAlignment="1" applyProtection="1">
      <alignment horizontal="center" vertical="center"/>
      <protection hidden="1"/>
    </xf>
    <xf numFmtId="41" fontId="110" fillId="6" borderId="25" xfId="48" applyNumberFormat="1" applyFont="1" applyFill="1" applyBorder="1" applyAlignment="1" applyProtection="1">
      <alignment horizontal="center" vertical="center"/>
      <protection hidden="1"/>
    </xf>
    <xf numFmtId="41" fontId="110" fillId="6" borderId="26" xfId="48" applyNumberFormat="1" applyFont="1" applyFill="1" applyBorder="1" applyAlignment="1" applyProtection="1">
      <alignment horizontal="center" vertical="center"/>
      <protection hidden="1"/>
    </xf>
    <xf numFmtId="41" fontId="110" fillId="6" borderId="10" xfId="48" applyNumberFormat="1" applyFont="1" applyFill="1" applyBorder="1" applyAlignment="1" applyProtection="1">
      <alignment horizontal="center" vertical="center"/>
      <protection hidden="1"/>
    </xf>
    <xf numFmtId="41" fontId="110" fillId="6" borderId="27" xfId="48" applyNumberFormat="1" applyFont="1" applyFill="1" applyBorder="1" applyAlignment="1" applyProtection="1">
      <alignment horizontal="center" vertical="center"/>
      <protection hidden="1"/>
    </xf>
    <xf numFmtId="41" fontId="110" fillId="6" borderId="28" xfId="48" applyNumberFormat="1" applyFont="1" applyFill="1" applyBorder="1" applyAlignment="1" applyProtection="1">
      <alignment horizontal="center" vertical="center"/>
      <protection hidden="1"/>
    </xf>
    <xf numFmtId="41" fontId="111" fillId="6" borderId="25" xfId="48" applyFont="1" applyFill="1" applyBorder="1" applyAlignment="1" applyProtection="1">
      <alignment horizontal="right" vertical="center"/>
      <protection hidden="1"/>
    </xf>
    <xf numFmtId="41" fontId="111" fillId="6" borderId="10" xfId="48" applyFont="1" applyFill="1" applyBorder="1" applyAlignment="1" applyProtection="1">
      <alignment horizontal="right" vertical="center"/>
      <protection hidden="1"/>
    </xf>
    <xf numFmtId="0" fontId="98" fillId="0" borderId="29" xfId="62" applyFont="1" applyBorder="1" applyProtection="1">
      <alignment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112" fillId="0" borderId="0" xfId="0" applyFont="1" applyFill="1" applyBorder="1" applyAlignment="1" applyProtection="1">
      <alignment horizontal="center" vertical="center"/>
      <protection hidden="1"/>
    </xf>
    <xf numFmtId="0" fontId="110" fillId="0" borderId="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11" fontId="9" fillId="0" borderId="0" xfId="63" applyNumberFormat="1" applyFont="1" applyAlignment="1">
      <alignment horizontal="center" vertical="center"/>
      <protection/>
    </xf>
    <xf numFmtId="186" fontId="110" fillId="6" borderId="32" xfId="0" applyNumberFormat="1" applyFont="1" applyFill="1" applyBorder="1" applyAlignment="1" applyProtection="1">
      <alignment horizontal="center" vertical="center"/>
      <protection hidden="1"/>
    </xf>
    <xf numFmtId="186" fontId="110" fillId="6" borderId="33" xfId="0" applyNumberFormat="1" applyFont="1" applyFill="1" applyBorder="1" applyAlignment="1" applyProtection="1">
      <alignment horizontal="center" vertical="center"/>
      <protection hidden="1"/>
    </xf>
    <xf numFmtId="186" fontId="110" fillId="6" borderId="25" xfId="0" applyNumberFormat="1" applyFont="1" applyFill="1" applyBorder="1" applyAlignment="1" applyProtection="1">
      <alignment horizontal="center" vertical="center"/>
      <protection hidden="1"/>
    </xf>
    <xf numFmtId="186" fontId="110" fillId="6" borderId="10" xfId="0" applyNumberFormat="1" applyFont="1" applyFill="1" applyBorder="1" applyAlignment="1" applyProtection="1">
      <alignment horizontal="center" vertical="center"/>
      <protection hidden="1"/>
    </xf>
    <xf numFmtId="180" fontId="8" fillId="0" borderId="0" xfId="43" applyNumberFormat="1" applyFont="1" applyBorder="1" applyAlignment="1" applyProtection="1">
      <alignment vertical="center"/>
      <protection hidden="1"/>
    </xf>
    <xf numFmtId="186" fontId="113" fillId="6" borderId="34" xfId="48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vertical="center"/>
      <protection hidden="1"/>
    </xf>
    <xf numFmtId="0" fontId="8" fillId="0" borderId="36" xfId="0" applyFont="1" applyBorder="1" applyAlignment="1" applyProtection="1">
      <alignment vertical="center"/>
      <protection hidden="1"/>
    </xf>
    <xf numFmtId="181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212" fontId="20" fillId="0" borderId="41" xfId="0" applyNumberFormat="1" applyFont="1" applyFill="1" applyBorder="1" applyAlignment="1" applyProtection="1">
      <alignment horizontal="center" vertical="center"/>
      <protection hidden="1"/>
    </xf>
    <xf numFmtId="186" fontId="109" fillId="6" borderId="34" xfId="48" applyNumberFormat="1" applyFont="1" applyFill="1" applyBorder="1" applyAlignment="1" applyProtection="1">
      <alignment horizontal="center" vertical="center"/>
      <protection hidden="1"/>
    </xf>
    <xf numFmtId="186" fontId="109" fillId="6" borderId="11" xfId="48" applyNumberFormat="1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190" fontId="6" fillId="0" borderId="0" xfId="0" applyNumberFormat="1" applyFont="1" applyFill="1" applyBorder="1" applyAlignment="1" applyProtection="1">
      <alignment horizontal="center" vertical="center"/>
      <protection hidden="1"/>
    </xf>
    <xf numFmtId="192" fontId="8" fillId="34" borderId="16" xfId="0" applyNumberFormat="1" applyFont="1" applyFill="1" applyBorder="1" applyAlignment="1" applyProtection="1">
      <alignment horizontal="center" vertical="center"/>
      <protection hidden="1"/>
    </xf>
    <xf numFmtId="192" fontId="8" fillId="34" borderId="10" xfId="0" applyNumberFormat="1" applyFont="1" applyFill="1" applyBorder="1" applyAlignment="1" applyProtection="1">
      <alignment horizontal="center" vertical="center"/>
      <protection hidden="1"/>
    </xf>
    <xf numFmtId="41" fontId="8" fillId="0" borderId="16" xfId="0" applyNumberFormat="1" applyFont="1" applyFill="1" applyBorder="1" applyAlignment="1" applyProtection="1">
      <alignment horizontal="center" vertical="center"/>
      <protection hidden="1"/>
    </xf>
    <xf numFmtId="177" fontId="0" fillId="0" borderId="3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1" fontId="0" fillId="0" borderId="34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11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213" fontId="20" fillId="34" borderId="37" xfId="0" applyNumberFormat="1" applyFont="1" applyFill="1" applyBorder="1" applyAlignment="1" applyProtection="1">
      <alignment horizontal="center" vertical="center"/>
      <protection hidden="1"/>
    </xf>
    <xf numFmtId="213" fontId="20" fillId="0" borderId="37" xfId="0" applyNumberFormat="1" applyFont="1" applyFill="1" applyBorder="1" applyAlignment="1" applyProtection="1">
      <alignment horizontal="center" vertical="center"/>
      <protection hidden="1"/>
    </xf>
    <xf numFmtId="214" fontId="8" fillId="34" borderId="15" xfId="0" applyNumberFormat="1" applyFont="1" applyFill="1" applyBorder="1" applyAlignment="1" applyProtection="1">
      <alignment horizontal="center" vertical="center"/>
      <protection hidden="1"/>
    </xf>
    <xf numFmtId="214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10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6" fillId="0" borderId="0" xfId="0" applyFont="1" applyBorder="1" applyAlignment="1" applyProtection="1">
      <alignment vertical="center"/>
      <protection hidden="1"/>
    </xf>
    <xf numFmtId="177" fontId="0" fillId="0" borderId="34" xfId="0" applyNumberFormat="1" applyBorder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 hidden="1"/>
    </xf>
    <xf numFmtId="43" fontId="111" fillId="0" borderId="0" xfId="0" applyNumberFormat="1" applyFont="1" applyFill="1" applyBorder="1" applyAlignment="1" applyProtection="1">
      <alignment horizontal="right" vertical="center"/>
      <protection hidden="1"/>
    </xf>
    <xf numFmtId="41" fontId="111" fillId="0" borderId="0" xfId="48" applyFont="1" applyFill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41" fontId="111" fillId="6" borderId="49" xfId="48" applyFont="1" applyFill="1" applyBorder="1" applyAlignment="1" applyProtection="1">
      <alignment horizontal="right" vertical="center"/>
      <protection hidden="1"/>
    </xf>
    <xf numFmtId="41" fontId="111" fillId="6" borderId="39" xfId="48" applyFont="1" applyFill="1" applyBorder="1" applyAlignment="1" applyProtection="1">
      <alignment horizontal="right" vertical="center"/>
      <protection hidden="1"/>
    </xf>
    <xf numFmtId="43" fontId="111" fillId="6" borderId="50" xfId="0" applyNumberFormat="1" applyFont="1" applyFill="1" applyBorder="1" applyAlignment="1" applyProtection="1">
      <alignment horizontal="right" vertical="center"/>
      <protection hidden="1"/>
    </xf>
    <xf numFmtId="43" fontId="111" fillId="6" borderId="16" xfId="0" applyNumberFormat="1" applyFont="1" applyFill="1" applyBorder="1" applyAlignment="1" applyProtection="1">
      <alignment horizontal="right" vertical="center"/>
      <protection hidden="1"/>
    </xf>
    <xf numFmtId="41" fontId="111" fillId="6" borderId="16" xfId="48" applyFont="1" applyFill="1" applyBorder="1" applyAlignment="1" applyProtection="1">
      <alignment horizontal="right" vertical="center"/>
      <protection hidden="1"/>
    </xf>
    <xf numFmtId="41" fontId="111" fillId="6" borderId="40" xfId="48" applyFont="1" applyFill="1" applyBorder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 applyProtection="1">
      <alignment horizontal="center" vertical="center"/>
      <protection hidden="1"/>
    </xf>
    <xf numFmtId="41" fontId="110" fillId="0" borderId="0" xfId="48" applyNumberFormat="1" applyFont="1" applyFill="1" applyBorder="1" applyAlignment="1" applyProtection="1">
      <alignment horizontal="center" vertical="center"/>
      <protection hidden="1"/>
    </xf>
    <xf numFmtId="205" fontId="110" fillId="0" borderId="0" xfId="0" applyNumberFormat="1" applyFont="1" applyFill="1" applyBorder="1" applyAlignment="1" applyProtection="1">
      <alignment horizontal="center" vertical="center"/>
      <protection hidden="1"/>
    </xf>
    <xf numFmtId="182" fontId="110" fillId="6" borderId="28" xfId="0" applyNumberFormat="1" applyFont="1" applyFill="1" applyBorder="1" applyAlignment="1" applyProtection="1">
      <alignment horizontal="center" vertical="center"/>
      <protection hidden="1"/>
    </xf>
    <xf numFmtId="182" fontId="110" fillId="6" borderId="51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vertical="center"/>
      <protection hidden="1"/>
    </xf>
    <xf numFmtId="192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20" fillId="34" borderId="53" xfId="0" applyFont="1" applyFill="1" applyBorder="1" applyAlignment="1" applyProtection="1">
      <alignment horizontal="center" vertical="center"/>
      <protection hidden="1"/>
    </xf>
    <xf numFmtId="0" fontId="20" fillId="34" borderId="54" xfId="0" applyFont="1" applyFill="1" applyBorder="1" applyAlignment="1" applyProtection="1">
      <alignment horizontal="center" vertical="center"/>
      <protection hidden="1"/>
    </xf>
    <xf numFmtId="0" fontId="20" fillId="34" borderId="44" xfId="0" applyFont="1" applyFill="1" applyBorder="1" applyAlignment="1" applyProtection="1">
      <alignment horizontal="center" vertical="center"/>
      <protection hidden="1"/>
    </xf>
    <xf numFmtId="0" fontId="20" fillId="0" borderId="45" xfId="0" applyFont="1" applyFill="1" applyBorder="1" applyAlignment="1" applyProtection="1">
      <alignment horizontal="center" vertical="center"/>
      <protection hidden="1"/>
    </xf>
    <xf numFmtId="213" fontId="20" fillId="0" borderId="38" xfId="0" applyNumberFormat="1" applyFont="1" applyFill="1" applyBorder="1" applyAlignment="1" applyProtection="1">
      <alignment horizontal="center" vertical="center"/>
      <protection hidden="1"/>
    </xf>
    <xf numFmtId="214" fontId="8" fillId="0" borderId="17" xfId="0" applyNumberFormat="1" applyFont="1" applyFill="1" applyBorder="1" applyAlignment="1" applyProtection="1">
      <alignment horizontal="center" vertical="center"/>
      <protection hidden="1"/>
    </xf>
    <xf numFmtId="186" fontId="109" fillId="6" borderId="55" xfId="48" applyNumberFormat="1" applyFont="1" applyFill="1" applyBorder="1" applyAlignment="1" applyProtection="1">
      <alignment horizontal="center" vertical="center"/>
      <protection hidden="1"/>
    </xf>
    <xf numFmtId="186" fontId="109" fillId="6" borderId="39" xfId="48" applyNumberFormat="1" applyFont="1" applyFill="1" applyBorder="1" applyAlignment="1" applyProtection="1">
      <alignment horizontal="center" vertical="center"/>
      <protection hidden="1"/>
    </xf>
    <xf numFmtId="186" fontId="109" fillId="6" borderId="17" xfId="48" applyNumberFormat="1" applyFont="1" applyFill="1" applyBorder="1" applyAlignment="1" applyProtection="1">
      <alignment horizontal="center" vertical="center"/>
      <protection hidden="1"/>
    </xf>
    <xf numFmtId="186" fontId="109" fillId="6" borderId="56" xfId="48" applyNumberFormat="1" applyFont="1" applyFill="1" applyBorder="1" applyAlignment="1" applyProtection="1">
      <alignment horizontal="center" vertical="center"/>
      <protection hidden="1"/>
    </xf>
    <xf numFmtId="41" fontId="16" fillId="0" borderId="10" xfId="48" applyFont="1" applyFill="1" applyBorder="1" applyAlignment="1" applyProtection="1">
      <alignment horizontal="center" vertical="center"/>
      <protection hidden="1"/>
    </xf>
    <xf numFmtId="41" fontId="16" fillId="0" borderId="57" xfId="48" applyFont="1" applyFill="1" applyBorder="1" applyAlignment="1" applyProtection="1">
      <alignment horizontal="center" vertical="center"/>
      <protection hidden="1"/>
    </xf>
    <xf numFmtId="194" fontId="8" fillId="0" borderId="0" xfId="0" applyNumberFormat="1" applyFont="1" applyFill="1" applyBorder="1" applyAlignment="1" applyProtection="1">
      <alignment horizontal="center" vertical="center"/>
      <protection hidden="1"/>
    </xf>
    <xf numFmtId="41" fontId="20" fillId="0" borderId="0" xfId="48" applyNumberFormat="1" applyFont="1" applyFill="1" applyBorder="1" applyAlignment="1" applyProtection="1">
      <alignment horizontal="center" vertical="center"/>
      <protection hidden="1"/>
    </xf>
    <xf numFmtId="9" fontId="8" fillId="0" borderId="23" xfId="43" applyFont="1" applyBorder="1" applyAlignment="1" applyProtection="1">
      <alignment vertical="center"/>
      <protection hidden="1"/>
    </xf>
    <xf numFmtId="9" fontId="8" fillId="0" borderId="56" xfId="43" applyFont="1" applyBorder="1" applyAlignment="1" applyProtection="1">
      <alignment vertical="center"/>
      <protection hidden="1"/>
    </xf>
    <xf numFmtId="186" fontId="113" fillId="6" borderId="23" xfId="48" applyNumberFormat="1" applyFont="1" applyFill="1" applyBorder="1" applyAlignment="1" applyProtection="1">
      <alignment horizontal="center" vertical="center"/>
      <protection hidden="1"/>
    </xf>
    <xf numFmtId="215" fontId="8" fillId="0" borderId="23" xfId="43" applyNumberFormat="1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14" fillId="0" borderId="0" xfId="63" applyFont="1" applyAlignment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 hidden="1"/>
    </xf>
    <xf numFmtId="41" fontId="7" fillId="0" borderId="0" xfId="48" applyFont="1" applyBorder="1" applyAlignment="1" applyProtection="1">
      <alignment horizontal="center" vertical="center"/>
      <protection hidden="1"/>
    </xf>
    <xf numFmtId="180" fontId="8" fillId="34" borderId="0" xfId="43" applyNumberFormat="1" applyFont="1" applyFill="1" applyBorder="1" applyAlignment="1" applyProtection="1">
      <alignment horizontal="center" vertical="center"/>
      <protection hidden="1"/>
    </xf>
    <xf numFmtId="0" fontId="9" fillId="0" borderId="0" xfId="63" applyFont="1" applyAlignment="1">
      <alignment horizontal="left" vertical="center"/>
      <protection/>
    </xf>
    <xf numFmtId="218" fontId="110" fillId="6" borderId="58" xfId="48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3" fillId="0" borderId="53" xfId="0" applyFont="1" applyBorder="1" applyAlignment="1">
      <alignment horizontal="right" vertical="center"/>
    </xf>
    <xf numFmtId="180" fontId="33" fillId="0" borderId="59" xfId="0" applyNumberFormat="1" applyFont="1" applyBorder="1" applyAlignment="1">
      <alignment horizontal="left" vertical="center"/>
    </xf>
    <xf numFmtId="179" fontId="35" fillId="0" borderId="10" xfId="0" applyNumberFormat="1" applyFont="1" applyBorder="1" applyAlignment="1">
      <alignment horizontal="right" vertical="center"/>
    </xf>
    <xf numFmtId="180" fontId="35" fillId="0" borderId="60" xfId="0" applyNumberFormat="1" applyFont="1" applyBorder="1" applyAlignment="1">
      <alignment horizontal="right" vertical="center"/>
    </xf>
    <xf numFmtId="181" fontId="35" fillId="0" borderId="34" xfId="0" applyNumberFormat="1" applyFont="1" applyBorder="1" applyAlignment="1">
      <alignment horizontal="right" vertical="center"/>
    </xf>
    <xf numFmtId="204" fontId="35" fillId="0" borderId="61" xfId="0" applyNumberFormat="1" applyFont="1" applyBorder="1" applyAlignment="1">
      <alignment horizontal="right" vertical="center"/>
    </xf>
    <xf numFmtId="204" fontId="35" fillId="0" borderId="39" xfId="0" applyNumberFormat="1" applyFont="1" applyBorder="1" applyAlignment="1">
      <alignment horizontal="right" vertical="center"/>
    </xf>
    <xf numFmtId="180" fontId="35" fillId="0" borderId="59" xfId="0" applyNumberFormat="1" applyFont="1" applyBorder="1" applyAlignment="1">
      <alignment horizontal="left" vertical="center"/>
    </xf>
    <xf numFmtId="180" fontId="35" fillId="0" borderId="59" xfId="0" applyNumberFormat="1" applyFont="1" applyBorder="1" applyAlignment="1">
      <alignment horizontal="right" vertical="center"/>
    </xf>
    <xf numFmtId="181" fontId="35" fillId="0" borderId="10" xfId="0" applyNumberFormat="1" applyFont="1" applyBorder="1" applyAlignment="1">
      <alignment horizontal="right" vertical="center"/>
    </xf>
    <xf numFmtId="204" fontId="35" fillId="0" borderId="19" xfId="0" applyNumberFormat="1" applyFont="1" applyBorder="1" applyAlignment="1">
      <alignment horizontal="right" vertical="center"/>
    </xf>
    <xf numFmtId="204" fontId="35" fillId="0" borderId="39" xfId="0" applyNumberFormat="1" applyFont="1" applyBorder="1" applyAlignment="1">
      <alignment horizontal="center" vertical="center"/>
    </xf>
    <xf numFmtId="0" fontId="33" fillId="0" borderId="54" xfId="0" applyFont="1" applyBorder="1" applyAlignment="1">
      <alignment horizontal="right" vertical="center"/>
    </xf>
    <xf numFmtId="180" fontId="33" fillId="0" borderId="62" xfId="0" applyNumberFormat="1" applyFont="1" applyBorder="1" applyAlignment="1">
      <alignment horizontal="left" vertical="center"/>
    </xf>
    <xf numFmtId="179" fontId="35" fillId="0" borderId="16" xfId="0" applyNumberFormat="1" applyFont="1" applyBorder="1" applyAlignment="1">
      <alignment horizontal="right" vertical="center"/>
    </xf>
    <xf numFmtId="180" fontId="35" fillId="0" borderId="62" xfId="0" applyNumberFormat="1" applyFont="1" applyBorder="1" applyAlignment="1">
      <alignment horizontal="right" vertical="center"/>
    </xf>
    <xf numFmtId="181" fontId="35" fillId="0" borderId="16" xfId="0" applyNumberFormat="1" applyFont="1" applyBorder="1" applyAlignment="1">
      <alignment horizontal="right" vertical="center"/>
    </xf>
    <xf numFmtId="204" fontId="35" fillId="0" borderId="20" xfId="0" applyNumberFormat="1" applyFont="1" applyBorder="1" applyAlignment="1">
      <alignment horizontal="right" vertical="center"/>
    </xf>
    <xf numFmtId="204" fontId="35" fillId="0" borderId="40" xfId="0" applyNumberFormat="1" applyFont="1" applyBorder="1" applyAlignment="1">
      <alignment horizontal="center" vertical="center"/>
    </xf>
    <xf numFmtId="0" fontId="33" fillId="0" borderId="63" xfId="0" applyFont="1" applyBorder="1" applyAlignment="1">
      <alignment horizontal="right" vertical="center"/>
    </xf>
    <xf numFmtId="180" fontId="33" fillId="0" borderId="63" xfId="0" applyNumberFormat="1" applyFont="1" applyBorder="1" applyAlignment="1">
      <alignment horizontal="left" vertical="center"/>
    </xf>
    <xf numFmtId="179" fontId="35" fillId="0" borderId="63" xfId="0" applyNumberFormat="1" applyFont="1" applyBorder="1" applyAlignment="1">
      <alignment horizontal="right" vertical="center"/>
    </xf>
    <xf numFmtId="181" fontId="35" fillId="0" borderId="63" xfId="0" applyNumberFormat="1" applyFont="1" applyBorder="1" applyAlignment="1">
      <alignment horizontal="right" vertical="center"/>
    </xf>
    <xf numFmtId="177" fontId="35" fillId="0" borderId="63" xfId="0" applyNumberFormat="1" applyFont="1" applyBorder="1" applyAlignment="1">
      <alignment horizontal="right" vertical="center"/>
    </xf>
    <xf numFmtId="0" fontId="35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right" vertical="center"/>
    </xf>
    <xf numFmtId="180" fontId="33" fillId="0" borderId="65" xfId="0" applyNumberFormat="1" applyFont="1" applyBorder="1" applyAlignment="1">
      <alignment horizontal="left" vertical="center"/>
    </xf>
    <xf numFmtId="179" fontId="35" fillId="0" borderId="37" xfId="0" applyNumberFormat="1" applyFont="1" applyBorder="1" applyAlignment="1">
      <alignment horizontal="right" vertical="center"/>
    </xf>
    <xf numFmtId="180" fontId="35" fillId="0" borderId="65" xfId="0" applyNumberFormat="1" applyFont="1" applyBorder="1" applyAlignment="1">
      <alignment horizontal="right" vertical="center"/>
    </xf>
    <xf numFmtId="181" fontId="35" fillId="0" borderId="37" xfId="0" applyNumberFormat="1" applyFont="1" applyBorder="1" applyAlignment="1">
      <alignment horizontal="right" vertical="center"/>
    </xf>
    <xf numFmtId="204" fontId="35" fillId="0" borderId="66" xfId="0" applyNumberFormat="1" applyFont="1" applyBorder="1" applyAlignment="1">
      <alignment horizontal="right" vertical="center"/>
    </xf>
    <xf numFmtId="204" fontId="35" fillId="0" borderId="37" xfId="0" applyNumberFormat="1" applyFont="1" applyBorder="1" applyAlignment="1">
      <alignment horizontal="right" vertical="center"/>
    </xf>
    <xf numFmtId="204" fontId="35" fillId="0" borderId="38" xfId="0" applyNumberFormat="1" applyFont="1" applyBorder="1" applyAlignment="1">
      <alignment horizontal="right" vertical="center"/>
    </xf>
    <xf numFmtId="179" fontId="33" fillId="0" borderId="0" xfId="0" applyNumberFormat="1" applyFont="1" applyAlignment="1">
      <alignment vertical="center"/>
    </xf>
    <xf numFmtId="204" fontId="35" fillId="0" borderId="34" xfId="0" applyNumberFormat="1" applyFont="1" applyBorder="1" applyAlignment="1">
      <alignment horizontal="right" vertical="center"/>
    </xf>
    <xf numFmtId="204" fontId="35" fillId="0" borderId="10" xfId="0" applyNumberFormat="1" applyFont="1" applyBorder="1" applyAlignment="1">
      <alignment horizontal="right" vertical="center"/>
    </xf>
    <xf numFmtId="204" fontId="35" fillId="0" borderId="16" xfId="0" applyNumberFormat="1" applyFont="1" applyBorder="1" applyAlignment="1">
      <alignment horizontal="right" vertical="center"/>
    </xf>
    <xf numFmtId="210" fontId="115" fillId="6" borderId="67" xfId="48" applyNumberFormat="1" applyFont="1" applyFill="1" applyBorder="1" applyAlignment="1" applyProtection="1">
      <alignment horizontal="center" vertical="center"/>
      <protection hidden="1"/>
    </xf>
    <xf numFmtId="210" fontId="110" fillId="6" borderId="67" xfId="48" applyNumberFormat="1" applyFont="1" applyFill="1" applyBorder="1" applyAlignment="1" applyProtection="1">
      <alignment horizontal="center" vertical="center"/>
      <protection hidden="1"/>
    </xf>
    <xf numFmtId="0" fontId="20" fillId="34" borderId="68" xfId="0" applyFont="1" applyFill="1" applyBorder="1" applyAlignment="1" applyProtection="1">
      <alignment horizontal="center" vertical="center"/>
      <protection hidden="1"/>
    </xf>
    <xf numFmtId="43" fontId="111" fillId="6" borderId="69" xfId="0" applyNumberFormat="1" applyFont="1" applyFill="1" applyBorder="1" applyAlignment="1" applyProtection="1">
      <alignment horizontal="right" vertical="center"/>
      <protection hidden="1"/>
    </xf>
    <xf numFmtId="43" fontId="111" fillId="6" borderId="15" xfId="0" applyNumberFormat="1" applyFont="1" applyFill="1" applyBorder="1" applyAlignment="1" applyProtection="1">
      <alignment horizontal="right" vertical="center"/>
      <protection hidden="1"/>
    </xf>
    <xf numFmtId="41" fontId="111" fillId="6" borderId="15" xfId="48" applyFont="1" applyFill="1" applyBorder="1" applyAlignment="1" applyProtection="1">
      <alignment horizontal="right" vertical="center"/>
      <protection hidden="1"/>
    </xf>
    <xf numFmtId="41" fontId="111" fillId="6" borderId="17" xfId="48" applyFont="1" applyFill="1" applyBorder="1" applyAlignment="1" applyProtection="1">
      <alignment horizontal="right" vertical="center"/>
      <protection hidden="1"/>
    </xf>
    <xf numFmtId="180" fontId="8" fillId="0" borderId="70" xfId="0" applyNumberFormat="1" applyFont="1" applyBorder="1" applyAlignment="1">
      <alignment vertical="center"/>
    </xf>
    <xf numFmtId="0" fontId="110" fillId="6" borderId="71" xfId="0" applyFont="1" applyFill="1" applyBorder="1" applyAlignment="1" applyProtection="1">
      <alignment horizontal="center" vertical="center"/>
      <protection hidden="1"/>
    </xf>
    <xf numFmtId="0" fontId="110" fillId="6" borderId="67" xfId="0" applyFont="1" applyFill="1" applyBorder="1" applyAlignment="1" applyProtection="1">
      <alignment horizontal="center" vertical="center"/>
      <protection hidden="1"/>
    </xf>
    <xf numFmtId="49" fontId="110" fillId="6" borderId="67" xfId="0" applyNumberFormat="1" applyFont="1" applyFill="1" applyBorder="1" applyAlignment="1" applyProtection="1">
      <alignment horizontal="center" vertical="center"/>
      <protection hidden="1"/>
    </xf>
    <xf numFmtId="0" fontId="110" fillId="6" borderId="72" xfId="0" applyFont="1" applyFill="1" applyBorder="1" applyAlignment="1" applyProtection="1">
      <alignment horizontal="center" vertical="center"/>
      <protection hidden="1"/>
    </xf>
    <xf numFmtId="223" fontId="8" fillId="0" borderId="44" xfId="48" applyNumberFormat="1" applyFont="1" applyBorder="1" applyAlignment="1" applyProtection="1">
      <alignment horizontal="center" vertical="center"/>
      <protection hidden="1"/>
    </xf>
    <xf numFmtId="223" fontId="112" fillId="0" borderId="44" xfId="48" applyNumberFormat="1" applyFont="1" applyFill="1" applyBorder="1" applyAlignment="1" applyProtection="1">
      <alignment horizontal="center" vertical="center"/>
      <protection hidden="1"/>
    </xf>
    <xf numFmtId="223" fontId="8" fillId="0" borderId="45" xfId="48" applyNumberFormat="1" applyFont="1" applyBorder="1" applyAlignment="1" applyProtection="1">
      <alignment horizontal="center" vertical="center"/>
      <protection hidden="1"/>
    </xf>
    <xf numFmtId="186" fontId="20" fillId="35" borderId="14" xfId="48" applyNumberFormat="1" applyFont="1" applyFill="1" applyBorder="1" applyAlignment="1" applyProtection="1">
      <alignment horizontal="center" vertical="center"/>
      <protection hidden="1"/>
    </xf>
    <xf numFmtId="179" fontId="10" fillId="0" borderId="73" xfId="0" applyNumberFormat="1" applyFont="1" applyBorder="1" applyAlignment="1" applyProtection="1">
      <alignment horizontal="center" vertical="center"/>
      <protection hidden="1"/>
    </xf>
    <xf numFmtId="186" fontId="20" fillId="35" borderId="14" xfId="48" applyNumberFormat="1" applyFont="1" applyFill="1" applyBorder="1" applyAlignment="1" applyProtection="1">
      <alignment vertical="center"/>
      <protection hidden="1"/>
    </xf>
    <xf numFmtId="0" fontId="8" fillId="0" borderId="74" xfId="62" applyFont="1" applyFill="1" applyBorder="1" applyAlignment="1" applyProtection="1">
      <alignment horizontal="center" vertical="center"/>
      <protection hidden="1"/>
    </xf>
    <xf numFmtId="186" fontId="115" fillId="6" borderId="75" xfId="48" applyNumberFormat="1" applyFont="1" applyFill="1" applyBorder="1" applyAlignment="1" applyProtection="1">
      <alignment vertical="center"/>
      <protection locked="0"/>
    </xf>
    <xf numFmtId="186" fontId="115" fillId="6" borderId="75" xfId="48" applyNumberFormat="1" applyFont="1" applyFill="1" applyBorder="1" applyAlignment="1" applyProtection="1">
      <alignment horizontal="center" vertical="center"/>
      <protection hidden="1"/>
    </xf>
    <xf numFmtId="186" fontId="110" fillId="6" borderId="75" xfId="48" applyNumberFormat="1" applyFont="1" applyFill="1" applyBorder="1" applyAlignment="1" applyProtection="1">
      <alignment horizontal="center" vertical="center"/>
      <protection hidden="1"/>
    </xf>
    <xf numFmtId="220" fontId="116" fillId="6" borderId="76" xfId="0" applyNumberFormat="1" applyFont="1" applyFill="1" applyBorder="1" applyAlignment="1" applyProtection="1">
      <alignment horizontal="right" vertical="center"/>
      <protection hidden="1"/>
    </xf>
    <xf numFmtId="192" fontId="111" fillId="6" borderId="24" xfId="0" applyNumberFormat="1" applyFont="1" applyFill="1" applyBorder="1" applyAlignment="1" applyProtection="1">
      <alignment horizontal="right" vertical="center"/>
      <protection hidden="1"/>
    </xf>
    <xf numFmtId="192" fontId="111" fillId="6" borderId="25" xfId="0" applyNumberFormat="1" applyFont="1" applyFill="1" applyBorder="1" applyAlignment="1" applyProtection="1">
      <alignment horizontal="right" vertical="center"/>
      <protection hidden="1"/>
    </xf>
    <xf numFmtId="192" fontId="111" fillId="6" borderId="26" xfId="0" applyNumberFormat="1" applyFont="1" applyFill="1" applyBorder="1" applyAlignment="1" applyProtection="1">
      <alignment horizontal="right" vertical="center"/>
      <protection hidden="1"/>
    </xf>
    <xf numFmtId="192" fontId="111" fillId="6" borderId="10" xfId="0" applyNumberFormat="1" applyFont="1" applyFill="1" applyBorder="1" applyAlignment="1" applyProtection="1">
      <alignment horizontal="right" vertical="center"/>
      <protection hidden="1"/>
    </xf>
    <xf numFmtId="223" fontId="20" fillId="35" borderId="14" xfId="43" applyNumberFormat="1" applyFont="1" applyFill="1" applyBorder="1" applyAlignment="1" applyProtection="1">
      <alignment vertical="center"/>
      <protection locked="0"/>
    </xf>
    <xf numFmtId="41" fontId="20" fillId="35" borderId="75" xfId="48" applyNumberFormat="1" applyFont="1" applyFill="1" applyBorder="1" applyAlignment="1" applyProtection="1">
      <alignment horizontal="center" vertical="center"/>
      <protection locked="0"/>
    </xf>
    <xf numFmtId="41" fontId="115" fillId="6" borderId="76" xfId="48" applyFont="1" applyFill="1" applyBorder="1" applyAlignment="1" applyProtection="1">
      <alignment horizontal="center" vertical="center"/>
      <protection hidden="1"/>
    </xf>
    <xf numFmtId="223" fontId="20" fillId="0" borderId="44" xfId="48" applyNumberFormat="1" applyFont="1" applyBorder="1" applyAlignment="1" applyProtection="1">
      <alignment horizontal="center" vertical="center"/>
      <protection hidden="1"/>
    </xf>
    <xf numFmtId="186" fontId="115" fillId="6" borderId="11" xfId="48" applyNumberFormat="1" applyFont="1" applyFill="1" applyBorder="1" applyAlignment="1" applyProtection="1">
      <alignment horizontal="center" vertical="center"/>
      <protection hidden="1"/>
    </xf>
    <xf numFmtId="203" fontId="115" fillId="6" borderId="75" xfId="0" applyNumberFormat="1" applyFont="1" applyFill="1" applyBorder="1" applyAlignment="1" applyProtection="1">
      <alignment vertical="center"/>
      <protection hidden="1"/>
    </xf>
    <xf numFmtId="41" fontId="8" fillId="0" borderId="10" xfId="48" applyFont="1" applyBorder="1" applyAlignment="1" applyProtection="1">
      <alignment horizontal="center" vertical="center"/>
      <protection hidden="1"/>
    </xf>
    <xf numFmtId="41" fontId="8" fillId="0" borderId="19" xfId="48" applyFont="1" applyBorder="1" applyAlignment="1" applyProtection="1">
      <alignment horizontal="center" vertical="center"/>
      <protection hidden="1"/>
    </xf>
    <xf numFmtId="212" fontId="20" fillId="0" borderId="41" xfId="0" applyNumberFormat="1" applyFont="1" applyBorder="1" applyAlignment="1" applyProtection="1">
      <alignment horizontal="center" vertical="center"/>
      <protection hidden="1"/>
    </xf>
    <xf numFmtId="180" fontId="105" fillId="35" borderId="77" xfId="0" applyNumberFormat="1" applyFont="1" applyFill="1" applyBorder="1" applyAlignment="1" applyProtection="1">
      <alignment horizontal="right" vertical="center"/>
      <protection hidden="1"/>
    </xf>
    <xf numFmtId="180" fontId="105" fillId="35" borderId="14" xfId="0" applyNumberFormat="1" applyFont="1" applyFill="1" applyBorder="1" applyAlignment="1" applyProtection="1">
      <alignment horizontal="right" vertical="center"/>
      <protection hidden="1"/>
    </xf>
    <xf numFmtId="0" fontId="8" fillId="0" borderId="78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213" fontId="20" fillId="0" borderId="66" xfId="0" applyNumberFormat="1" applyFont="1" applyFill="1" applyBorder="1" applyAlignment="1" applyProtection="1">
      <alignment horizontal="center" vertical="center"/>
      <protection hidden="1"/>
    </xf>
    <xf numFmtId="213" fontId="20" fillId="0" borderId="65" xfId="0" applyNumberFormat="1" applyFont="1" applyFill="1" applyBorder="1" applyAlignment="1" applyProtection="1">
      <alignment horizontal="center" vertical="center"/>
      <protection hidden="1"/>
    </xf>
    <xf numFmtId="214" fontId="8" fillId="0" borderId="31" xfId="0" applyNumberFormat="1" applyFont="1" applyFill="1" applyBorder="1" applyAlignment="1" applyProtection="1">
      <alignment horizontal="center" vertical="center"/>
      <protection hidden="1"/>
    </xf>
    <xf numFmtId="214" fontId="8" fillId="0" borderId="79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8" fillId="0" borderId="78" xfId="0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8" fillId="0" borderId="80" xfId="62" applyFont="1" applyFill="1" applyBorder="1" applyAlignment="1" applyProtection="1">
      <alignment horizontal="center" vertical="center"/>
      <protection hidden="1"/>
    </xf>
    <xf numFmtId="0" fontId="8" fillId="0" borderId="81" xfId="62" applyFont="1" applyFill="1" applyBorder="1" applyAlignment="1" applyProtection="1">
      <alignment horizontal="center" vertical="center"/>
      <protection hidden="1"/>
    </xf>
    <xf numFmtId="186" fontId="109" fillId="6" borderId="19" xfId="48" applyNumberFormat="1" applyFont="1" applyFill="1" applyBorder="1" applyAlignment="1" applyProtection="1">
      <alignment horizontal="center" vertical="center"/>
      <protection hidden="1"/>
    </xf>
    <xf numFmtId="186" fontId="109" fillId="6" borderId="59" xfId="48" applyNumberFormat="1" applyFont="1" applyFill="1" applyBorder="1" applyAlignment="1" applyProtection="1">
      <alignment horizontal="center" vertical="center"/>
      <protection hidden="1"/>
    </xf>
    <xf numFmtId="186" fontId="109" fillId="6" borderId="82" xfId="48" applyNumberFormat="1" applyFont="1" applyFill="1" applyBorder="1" applyAlignment="1" applyProtection="1">
      <alignment horizontal="center" vertical="center"/>
      <protection hidden="1"/>
    </xf>
    <xf numFmtId="186" fontId="109" fillId="6" borderId="83" xfId="48" applyNumberFormat="1" applyFont="1" applyFill="1" applyBorder="1" applyAlignment="1" applyProtection="1">
      <alignment horizontal="center" vertical="center"/>
      <protection hidden="1"/>
    </xf>
    <xf numFmtId="186" fontId="110" fillId="6" borderId="31" xfId="48" applyNumberFormat="1" applyFont="1" applyFill="1" applyBorder="1" applyAlignment="1" applyProtection="1">
      <alignment horizontal="center" vertical="center"/>
      <protection hidden="1"/>
    </xf>
    <xf numFmtId="186" fontId="110" fillId="6" borderId="79" xfId="48" applyNumberFormat="1" applyFont="1" applyFill="1" applyBorder="1" applyAlignment="1" applyProtection="1">
      <alignment horizontal="center" vertical="center"/>
      <protection hidden="1"/>
    </xf>
    <xf numFmtId="210" fontId="110" fillId="6" borderId="84" xfId="48" applyNumberFormat="1" applyFont="1" applyFill="1" applyBorder="1" applyAlignment="1" applyProtection="1">
      <alignment horizontal="center" vertical="center"/>
      <protection hidden="1"/>
    </xf>
    <xf numFmtId="210" fontId="110" fillId="6" borderId="85" xfId="48" applyNumberFormat="1" applyFont="1" applyFill="1" applyBorder="1" applyAlignment="1" applyProtection="1">
      <alignment horizontal="center" vertical="center"/>
      <protection hidden="1"/>
    </xf>
    <xf numFmtId="0" fontId="8" fillId="0" borderId="86" xfId="0" applyFont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vertical="center"/>
      <protection hidden="1"/>
    </xf>
    <xf numFmtId="0" fontId="20" fillId="0" borderId="87" xfId="0" applyFont="1" applyBorder="1" applyAlignment="1" applyProtection="1">
      <alignment horizontal="center" vertical="center"/>
      <protection hidden="1"/>
    </xf>
    <xf numFmtId="198" fontId="20" fillId="33" borderId="77" xfId="0" applyNumberFormat="1" applyFont="1" applyFill="1" applyBorder="1" applyAlignment="1" applyProtection="1">
      <alignment horizontal="right" vertical="center"/>
      <protection locked="0"/>
    </xf>
    <xf numFmtId="198" fontId="20" fillId="33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88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181" fontId="8" fillId="0" borderId="66" xfId="0" applyNumberFormat="1" applyFont="1" applyBorder="1" applyAlignment="1" applyProtection="1">
      <alignment horizontal="center" vertical="center"/>
      <protection hidden="1"/>
    </xf>
    <xf numFmtId="181" fontId="8" fillId="0" borderId="89" xfId="0" applyNumberFormat="1" applyFont="1" applyBorder="1" applyAlignment="1" applyProtection="1">
      <alignment horizontal="center" vertical="center"/>
      <protection hidden="1"/>
    </xf>
    <xf numFmtId="0" fontId="8" fillId="0" borderId="90" xfId="0" applyFont="1" applyBorder="1" applyAlignment="1" applyProtection="1">
      <alignment horizontal="center" vertical="center"/>
      <protection hidden="1"/>
    </xf>
    <xf numFmtId="0" fontId="8" fillId="0" borderId="91" xfId="0" applyFont="1" applyBorder="1" applyAlignment="1" applyProtection="1">
      <alignment horizontal="center" vertical="center"/>
      <protection hidden="1"/>
    </xf>
    <xf numFmtId="181" fontId="110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91" xfId="0" applyFont="1" applyFill="1" applyBorder="1" applyAlignment="1" applyProtection="1">
      <alignment horizontal="center" vertical="center" wrapText="1"/>
      <protection hidden="1"/>
    </xf>
    <xf numFmtId="177" fontId="8" fillId="0" borderId="92" xfId="0" applyNumberFormat="1" applyFont="1" applyBorder="1" applyAlignment="1" applyProtection="1">
      <alignment horizontal="center"/>
      <protection hidden="1"/>
    </xf>
    <xf numFmtId="177" fontId="8" fillId="0" borderId="34" xfId="0" applyNumberFormat="1" applyFont="1" applyBorder="1" applyAlignment="1" applyProtection="1">
      <alignment horizontal="center"/>
      <protection hidden="1"/>
    </xf>
    <xf numFmtId="177" fontId="8" fillId="0" borderId="61" xfId="0" applyNumberFormat="1" applyFont="1" applyBorder="1" applyAlignment="1" applyProtection="1">
      <alignment horizontal="center"/>
      <protection hidden="1"/>
    </xf>
    <xf numFmtId="0" fontId="20" fillId="34" borderId="66" xfId="0" applyFont="1" applyFill="1" applyBorder="1" applyAlignment="1" applyProtection="1">
      <alignment horizontal="center" vertical="center"/>
      <protection hidden="1"/>
    </xf>
    <xf numFmtId="0" fontId="20" fillId="34" borderId="65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59" xfId="0" applyFont="1" applyFill="1" applyBorder="1" applyAlignment="1" applyProtection="1">
      <alignment horizontal="center" vertical="center"/>
      <protection hidden="1"/>
    </xf>
    <xf numFmtId="213" fontId="20" fillId="0" borderId="66" xfId="0" applyNumberFormat="1" applyFont="1" applyBorder="1" applyAlignment="1" applyProtection="1">
      <alignment horizontal="center" vertical="center"/>
      <protection hidden="1"/>
    </xf>
    <xf numFmtId="213" fontId="20" fillId="0" borderId="65" xfId="0" applyNumberFormat="1" applyFont="1" applyBorder="1" applyAlignment="1" applyProtection="1">
      <alignment horizontal="center" vertical="center"/>
      <protection hidden="1"/>
    </xf>
    <xf numFmtId="214" fontId="8" fillId="0" borderId="31" xfId="0" applyNumberFormat="1" applyFont="1" applyBorder="1" applyAlignment="1" applyProtection="1">
      <alignment horizontal="center" vertical="center"/>
      <protection hidden="1"/>
    </xf>
    <xf numFmtId="214" fontId="8" fillId="0" borderId="79" xfId="0" applyNumberFormat="1" applyFont="1" applyBorder="1" applyAlignment="1" applyProtection="1">
      <alignment horizontal="center" vertical="center"/>
      <protection hidden="1"/>
    </xf>
    <xf numFmtId="0" fontId="20" fillId="36" borderId="93" xfId="0" applyFont="1" applyFill="1" applyBorder="1" applyAlignment="1" applyProtection="1">
      <alignment horizontal="center" vertical="center"/>
      <protection hidden="1"/>
    </xf>
    <xf numFmtId="0" fontId="20" fillId="36" borderId="77" xfId="0" applyFont="1" applyFill="1" applyBorder="1" applyAlignment="1" applyProtection="1">
      <alignment horizontal="center" vertical="center"/>
      <protection hidden="1"/>
    </xf>
    <xf numFmtId="0" fontId="20" fillId="0" borderId="94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20" fillId="36" borderId="9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80" fontId="102" fillId="0" borderId="86" xfId="0" applyNumberFormat="1" applyFont="1" applyFill="1" applyBorder="1" applyAlignment="1" applyProtection="1">
      <alignment horizontal="right" vertical="center"/>
      <protection hidden="1"/>
    </xf>
    <xf numFmtId="180" fontId="102" fillId="0" borderId="96" xfId="0" applyNumberFormat="1" applyFont="1" applyFill="1" applyBorder="1" applyAlignment="1" applyProtection="1">
      <alignment horizontal="right" vertical="center"/>
      <protection hidden="1"/>
    </xf>
    <xf numFmtId="219" fontId="115" fillId="6" borderId="71" xfId="48" applyNumberFormat="1" applyFont="1" applyFill="1" applyBorder="1" applyAlignment="1" applyProtection="1">
      <alignment horizontal="right"/>
      <protection hidden="1"/>
    </xf>
    <xf numFmtId="219" fontId="115" fillId="6" borderId="72" xfId="48" applyNumberFormat="1" applyFont="1" applyFill="1" applyBorder="1" applyAlignment="1" applyProtection="1">
      <alignment horizontal="right"/>
      <protection hidden="1"/>
    </xf>
    <xf numFmtId="180" fontId="105" fillId="0" borderId="41" xfId="0" applyNumberFormat="1" applyFont="1" applyFill="1" applyBorder="1" applyAlignment="1" applyProtection="1">
      <alignment horizontal="right" vertical="center"/>
      <protection hidden="1"/>
    </xf>
    <xf numFmtId="178" fontId="8" fillId="0" borderId="42" xfId="0" applyNumberFormat="1" applyFont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6" fillId="36" borderId="97" xfId="0" applyFont="1" applyFill="1" applyBorder="1" applyAlignment="1" applyProtection="1">
      <alignment horizontal="center" vertical="center"/>
      <protection hidden="1"/>
    </xf>
    <xf numFmtId="0" fontId="6" fillId="37" borderId="98" xfId="0" applyFont="1" applyFill="1" applyBorder="1" applyAlignment="1" applyProtection="1">
      <alignment horizontal="center" vertical="center"/>
      <protection hidden="1"/>
    </xf>
    <xf numFmtId="0" fontId="6" fillId="36" borderId="99" xfId="0" applyFont="1" applyFill="1" applyBorder="1" applyAlignment="1" applyProtection="1">
      <alignment horizontal="center" vertical="center"/>
      <protection hidden="1"/>
    </xf>
    <xf numFmtId="0" fontId="24" fillId="36" borderId="93" xfId="0" applyFont="1" applyFill="1" applyBorder="1" applyAlignment="1" applyProtection="1">
      <alignment horizontal="center" vertical="center"/>
      <protection hidden="1"/>
    </xf>
    <xf numFmtId="0" fontId="24" fillId="36" borderId="77" xfId="0" applyFont="1" applyFill="1" applyBorder="1" applyAlignment="1" applyProtection="1">
      <alignment horizontal="center" vertical="center"/>
      <protection hidden="1"/>
    </xf>
    <xf numFmtId="49" fontId="30" fillId="35" borderId="100" xfId="0" applyNumberFormat="1" applyFont="1" applyFill="1" applyBorder="1" applyAlignment="1" applyProtection="1">
      <alignment horizontal="center" vertical="center"/>
      <protection locked="0"/>
    </xf>
    <xf numFmtId="49" fontId="30" fillId="35" borderId="101" xfId="0" applyNumberFormat="1" applyFont="1" applyFill="1" applyBorder="1" applyAlignment="1" applyProtection="1">
      <alignment horizontal="center" vertical="center"/>
      <protection locked="0"/>
    </xf>
    <xf numFmtId="41" fontId="8" fillId="0" borderId="0" xfId="48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1" fontId="8" fillId="0" borderId="10" xfId="48" applyFont="1" applyFill="1" applyBorder="1" applyAlignment="1" applyProtection="1">
      <alignment horizontal="center" vertical="center"/>
      <protection hidden="1"/>
    </xf>
    <xf numFmtId="41" fontId="8" fillId="0" borderId="19" xfId="48" applyFont="1" applyFill="1" applyBorder="1" applyAlignment="1" applyProtection="1">
      <alignment horizontal="center" vertical="center"/>
      <protection hidden="1"/>
    </xf>
    <xf numFmtId="41" fontId="8" fillId="0" borderId="0" xfId="48" applyFont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182" fontId="8" fillId="0" borderId="10" xfId="48" applyNumberFormat="1" applyFont="1" applyFill="1" applyBorder="1" applyAlignment="1" applyProtection="1">
      <alignment horizontal="right" vertical="center"/>
      <protection hidden="1"/>
    </xf>
    <xf numFmtId="0" fontId="20" fillId="36" borderId="102" xfId="0" applyFont="1" applyFill="1" applyBorder="1" applyAlignment="1" applyProtection="1">
      <alignment horizontal="center" vertical="center"/>
      <protection hidden="1"/>
    </xf>
    <xf numFmtId="0" fontId="20" fillId="36" borderId="103" xfId="0" applyFont="1" applyFill="1" applyBorder="1" applyAlignment="1" applyProtection="1">
      <alignment horizontal="center" vertical="center"/>
      <protection hidden="1"/>
    </xf>
    <xf numFmtId="180" fontId="110" fillId="6" borderId="102" xfId="0" applyNumberFormat="1" applyFont="1" applyFill="1" applyBorder="1" applyAlignment="1" applyProtection="1">
      <alignment horizontal="center" vertical="center"/>
      <protection hidden="1"/>
    </xf>
    <xf numFmtId="180" fontId="110" fillId="6" borderId="104" xfId="0" applyNumberFormat="1" applyFont="1" applyFill="1" applyBorder="1" applyAlignment="1" applyProtection="1">
      <alignment horizontal="center" vertical="center"/>
      <protection hidden="1"/>
    </xf>
    <xf numFmtId="178" fontId="110" fillId="6" borderId="90" xfId="0" applyNumberFormat="1" applyFont="1" applyFill="1" applyBorder="1" applyAlignment="1" applyProtection="1">
      <alignment horizontal="center" vertical="center"/>
      <protection hidden="1"/>
    </xf>
    <xf numFmtId="178" fontId="110" fillId="6" borderId="91" xfId="0" applyNumberFormat="1" applyFont="1" applyFill="1" applyBorder="1" applyAlignment="1" applyProtection="1">
      <alignment horizontal="center" vertical="center"/>
      <protection hidden="1"/>
    </xf>
    <xf numFmtId="176" fontId="110" fillId="0" borderId="0" xfId="0" applyNumberFormat="1" applyFont="1" applyFill="1" applyBorder="1" applyAlignment="1" applyProtection="1">
      <alignment horizontal="center" vertical="center"/>
      <protection hidden="1"/>
    </xf>
    <xf numFmtId="180" fontId="110" fillId="6" borderId="90" xfId="0" applyNumberFormat="1" applyFont="1" applyFill="1" applyBorder="1" applyAlignment="1" applyProtection="1">
      <alignment horizontal="center" vertical="center"/>
      <protection hidden="1"/>
    </xf>
    <xf numFmtId="180" fontId="110" fillId="6" borderId="91" xfId="0" applyNumberFormat="1" applyFont="1" applyFill="1" applyBorder="1" applyAlignment="1" applyProtection="1">
      <alignment horizontal="center" vertical="center"/>
      <protection hidden="1"/>
    </xf>
    <xf numFmtId="180" fontId="110" fillId="6" borderId="105" xfId="0" applyNumberFormat="1" applyFont="1" applyFill="1" applyBorder="1" applyAlignment="1" applyProtection="1">
      <alignment horizontal="center" vertical="center"/>
      <protection hidden="1"/>
    </xf>
    <xf numFmtId="180" fontId="110" fillId="6" borderId="106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41" fontId="7" fillId="0" borderId="100" xfId="48" applyFont="1" applyFill="1" applyBorder="1" applyAlignment="1" applyProtection="1">
      <alignment horizontal="center" vertical="center"/>
      <protection hidden="1"/>
    </xf>
    <xf numFmtId="41" fontId="7" fillId="0" borderId="107" xfId="48" applyFont="1" applyFill="1" applyBorder="1" applyAlignment="1" applyProtection="1">
      <alignment horizontal="center" vertical="center"/>
      <protection hidden="1"/>
    </xf>
    <xf numFmtId="41" fontId="117" fillId="0" borderId="0" xfId="48" applyFont="1" applyFill="1" applyBorder="1" applyAlignment="1" applyProtection="1">
      <alignment horizontal="center" vertical="center"/>
      <protection hidden="1"/>
    </xf>
    <xf numFmtId="182" fontId="8" fillId="0" borderId="0" xfId="48" applyNumberFormat="1" applyFont="1" applyBorder="1" applyAlignment="1" applyProtection="1">
      <alignment horizontal="center" vertical="center"/>
      <protection hidden="1"/>
    </xf>
    <xf numFmtId="180" fontId="110" fillId="0" borderId="0" xfId="0" applyNumberFormat="1" applyFont="1" applyFill="1" applyBorder="1" applyAlignment="1" applyProtection="1">
      <alignment horizontal="center" vertical="center"/>
      <protection hidden="1"/>
    </xf>
    <xf numFmtId="210" fontId="110" fillId="6" borderId="71" xfId="48" applyNumberFormat="1" applyFont="1" applyFill="1" applyBorder="1" applyAlignment="1" applyProtection="1">
      <alignment horizontal="center" vertical="center"/>
      <protection hidden="1"/>
    </xf>
    <xf numFmtId="210" fontId="110" fillId="6" borderId="67" xfId="48" applyNumberFormat="1" applyFont="1" applyFill="1" applyBorder="1" applyAlignment="1" applyProtection="1">
      <alignment horizontal="center" vertical="center"/>
      <protection hidden="1"/>
    </xf>
    <xf numFmtId="215" fontId="8" fillId="34" borderId="108" xfId="43" applyNumberFormat="1" applyFont="1" applyFill="1" applyBorder="1" applyAlignment="1" applyProtection="1">
      <alignment horizontal="center" vertical="center"/>
      <protection hidden="1"/>
    </xf>
    <xf numFmtId="215" fontId="8" fillId="34" borderId="109" xfId="43" applyNumberFormat="1" applyFont="1" applyFill="1" applyBorder="1" applyAlignment="1" applyProtection="1">
      <alignment horizontal="center" vertical="center"/>
      <protection hidden="1"/>
    </xf>
    <xf numFmtId="180" fontId="8" fillId="34" borderId="0" xfId="43" applyNumberFormat="1" applyFont="1" applyFill="1" applyBorder="1" applyAlignment="1" applyProtection="1">
      <alignment horizontal="center" vertical="center"/>
      <protection hidden="1"/>
    </xf>
    <xf numFmtId="215" fontId="8" fillId="34" borderId="23" xfId="43" applyNumberFormat="1" applyFont="1" applyFill="1" applyBorder="1" applyAlignment="1" applyProtection="1">
      <alignment horizontal="center" vertical="center"/>
      <protection hidden="1"/>
    </xf>
    <xf numFmtId="186" fontId="109" fillId="6" borderId="110" xfId="48" applyNumberFormat="1" applyFont="1" applyFill="1" applyBorder="1" applyAlignment="1" applyProtection="1">
      <alignment horizontal="center" vertical="center"/>
      <protection hidden="1"/>
    </xf>
    <xf numFmtId="186" fontId="109" fillId="6" borderId="111" xfId="48" applyNumberFormat="1" applyFont="1" applyFill="1" applyBorder="1" applyAlignment="1" applyProtection="1">
      <alignment horizontal="center" vertical="center"/>
      <protection hidden="1"/>
    </xf>
    <xf numFmtId="0" fontId="7" fillId="0" borderId="84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1" fontId="7" fillId="0" borderId="0" xfId="48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204" fontId="7" fillId="0" borderId="112" xfId="48" applyNumberFormat="1" applyFont="1" applyFill="1" applyBorder="1" applyAlignment="1" applyProtection="1">
      <alignment horizontal="center" vertical="center"/>
      <protection hidden="1"/>
    </xf>
    <xf numFmtId="204" fontId="7" fillId="0" borderId="101" xfId="48" applyNumberFormat="1" applyFont="1" applyFill="1" applyBorder="1" applyAlignment="1" applyProtection="1">
      <alignment horizontal="center" vertical="center"/>
      <protection hidden="1"/>
    </xf>
    <xf numFmtId="41" fontId="8" fillId="34" borderId="0" xfId="48" applyFont="1" applyFill="1" applyBorder="1" applyAlignment="1" applyProtection="1">
      <alignment horizontal="center" vertical="center"/>
      <protection hidden="1"/>
    </xf>
    <xf numFmtId="204" fontId="7" fillId="0" borderId="0" xfId="48" applyNumberFormat="1" applyFont="1" applyFill="1" applyBorder="1" applyAlignment="1" applyProtection="1">
      <alignment horizontal="center" vertical="center"/>
      <protection hidden="1"/>
    </xf>
    <xf numFmtId="186" fontId="109" fillId="6" borderId="34" xfId="48" applyNumberFormat="1" applyFont="1" applyFill="1" applyBorder="1" applyAlignment="1" applyProtection="1">
      <alignment horizontal="center" vertical="center"/>
      <protection hidden="1"/>
    </xf>
    <xf numFmtId="41" fontId="7" fillId="0" borderId="0" xfId="48" applyFont="1" applyBorder="1" applyAlignment="1" applyProtection="1">
      <alignment horizontal="center" vertical="center"/>
      <protection hidden="1"/>
    </xf>
    <xf numFmtId="0" fontId="7" fillId="0" borderId="93" xfId="0" applyFont="1" applyFill="1" applyBorder="1" applyAlignment="1" applyProtection="1">
      <alignment horizontal="center" vertical="center"/>
      <protection hidden="1"/>
    </xf>
    <xf numFmtId="0" fontId="7" fillId="0" borderId="77" xfId="0" applyFont="1" applyFill="1" applyBorder="1" applyAlignment="1" applyProtection="1">
      <alignment horizontal="center" vertical="center"/>
      <protection hidden="1"/>
    </xf>
    <xf numFmtId="41" fontId="8" fillId="0" borderId="113" xfId="48" applyFont="1" applyBorder="1" applyAlignment="1" applyProtection="1">
      <alignment horizontal="center" vertical="center"/>
      <protection hidden="1"/>
    </xf>
    <xf numFmtId="41" fontId="8" fillId="0" borderId="18" xfId="48" applyFont="1" applyBorder="1" applyAlignment="1" applyProtection="1">
      <alignment horizontal="center" vertical="center"/>
      <protection hidden="1"/>
    </xf>
    <xf numFmtId="186" fontId="110" fillId="6" borderId="11" xfId="48" applyNumberFormat="1" applyFont="1" applyFill="1" applyBorder="1" applyAlignment="1" applyProtection="1">
      <alignment horizontal="center" vertical="center"/>
      <protection hidden="1"/>
    </xf>
    <xf numFmtId="41" fontId="8" fillId="0" borderId="16" xfId="48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20" fillId="0" borderId="43" xfId="0" applyFont="1" applyFill="1" applyBorder="1" applyAlignment="1" applyProtection="1">
      <alignment horizontal="center" vertical="center"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182" fontId="8" fillId="0" borderId="0" xfId="48" applyNumberFormat="1" applyFont="1" applyFill="1" applyBorder="1" applyAlignment="1" applyProtection="1">
      <alignment horizontal="center" vertical="center"/>
      <protection hidden="1"/>
    </xf>
    <xf numFmtId="186" fontId="109" fillId="6" borderId="23" xfId="48" applyNumberFormat="1" applyFont="1" applyFill="1" applyBorder="1" applyAlignment="1" applyProtection="1">
      <alignment horizontal="center" vertical="center"/>
      <protection hidden="1"/>
    </xf>
    <xf numFmtId="0" fontId="8" fillId="0" borderId="1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15" xfId="0" applyFont="1" applyBorder="1" applyAlignment="1" applyProtection="1">
      <alignment horizontal="center" vertical="center"/>
      <protection hidden="1"/>
    </xf>
    <xf numFmtId="41" fontId="20" fillId="33" borderId="77" xfId="48" applyFont="1" applyFill="1" applyBorder="1" applyAlignment="1" applyProtection="1">
      <alignment horizontal="right" vertical="center"/>
      <protection locked="0"/>
    </xf>
    <xf numFmtId="41" fontId="20" fillId="33" borderId="14" xfId="48" applyFont="1" applyFill="1" applyBorder="1" applyAlignment="1" applyProtection="1">
      <alignment horizontal="right" vertical="center"/>
      <protection locked="0"/>
    </xf>
    <xf numFmtId="0" fontId="20" fillId="0" borderId="41" xfId="0" applyFont="1" applyFill="1" applyBorder="1" applyAlignment="1" applyProtection="1">
      <alignment horizontal="right" vertical="center"/>
      <protection hidden="1"/>
    </xf>
    <xf numFmtId="0" fontId="8" fillId="0" borderId="116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180" fontId="102" fillId="0" borderId="31" xfId="0" applyNumberFormat="1" applyFont="1" applyFill="1" applyBorder="1" applyAlignment="1" applyProtection="1">
      <alignment horizontal="right" vertical="center"/>
      <protection hidden="1"/>
    </xf>
    <xf numFmtId="180" fontId="102" fillId="0" borderId="117" xfId="0" applyNumberFormat="1" applyFont="1" applyFill="1" applyBorder="1" applyAlignment="1" applyProtection="1">
      <alignment horizontal="right" vertical="center"/>
      <protection hidden="1"/>
    </xf>
    <xf numFmtId="0" fontId="10" fillId="0" borderId="118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9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119" xfId="0" applyFont="1" applyFill="1" applyBorder="1" applyAlignment="1" applyProtection="1">
      <alignment horizontal="center" vertical="center"/>
      <protection hidden="1"/>
    </xf>
    <xf numFmtId="0" fontId="6" fillId="0" borderId="120" xfId="0" applyFont="1" applyFill="1" applyBorder="1" applyAlignment="1" applyProtection="1">
      <alignment horizontal="center" vertical="center"/>
      <protection hidden="1"/>
    </xf>
    <xf numFmtId="0" fontId="8" fillId="0" borderId="121" xfId="0" applyFont="1" applyBorder="1" applyAlignment="1" applyProtection="1">
      <alignment horizontal="center" vertical="center"/>
      <protection hidden="1"/>
    </xf>
    <xf numFmtId="0" fontId="9" fillId="0" borderId="122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219" fontId="6" fillId="35" borderId="124" xfId="0" applyNumberFormat="1" applyFont="1" applyFill="1" applyBorder="1" applyAlignment="1">
      <alignment horizontal="right" vertical="center"/>
    </xf>
    <xf numFmtId="219" fontId="6" fillId="35" borderId="123" xfId="0" applyNumberFormat="1" applyFont="1" applyFill="1" applyBorder="1" applyAlignment="1">
      <alignment horizontal="right" vertical="center"/>
    </xf>
    <xf numFmtId="0" fontId="8" fillId="0" borderId="120" xfId="0" applyFont="1" applyBorder="1" applyAlignment="1" applyProtection="1">
      <alignment horizontal="center" vertical="center"/>
      <protection hidden="1"/>
    </xf>
    <xf numFmtId="0" fontId="8" fillId="0" borderId="122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center" vertical="center"/>
    </xf>
    <xf numFmtId="183" fontId="10" fillId="0" borderId="15" xfId="48" applyNumberFormat="1" applyFont="1" applyBorder="1" applyAlignment="1">
      <alignment horizontal="center" wrapText="1"/>
    </xf>
    <xf numFmtId="183" fontId="10" fillId="0" borderId="34" xfId="48" applyNumberFormat="1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3" fillId="0" borderId="125" xfId="0" applyFont="1" applyBorder="1" applyAlignment="1">
      <alignment horizontal="center" vertical="center"/>
    </xf>
    <xf numFmtId="0" fontId="33" fillId="0" borderId="126" xfId="0" applyFont="1" applyBorder="1" applyAlignment="1">
      <alignment horizontal="center" vertical="center"/>
    </xf>
    <xf numFmtId="0" fontId="33" fillId="0" borderId="127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1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126" xfId="0" applyFont="1" applyBorder="1" applyAlignment="1">
      <alignment horizontal="center" vertical="center" wrapText="1"/>
    </xf>
    <xf numFmtId="0" fontId="33" fillId="0" borderId="88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/>
    </xf>
    <xf numFmtId="0" fontId="33" fillId="0" borderId="129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130" xfId="0" applyFont="1" applyBorder="1" applyAlignment="1">
      <alignment horizontal="center" vertical="center" wrapText="1"/>
    </xf>
    <xf numFmtId="0" fontId="30" fillId="35" borderId="100" xfId="0" applyFont="1" applyFill="1" applyBorder="1" applyAlignment="1" applyProtection="1">
      <alignment horizontal="center" vertical="center"/>
      <protection locked="0"/>
    </xf>
    <xf numFmtId="0" fontId="30" fillId="35" borderId="107" xfId="0" applyFont="1" applyFill="1" applyBorder="1" applyAlignment="1" applyProtection="1">
      <alignment horizontal="center" vertical="center"/>
      <protection locked="0"/>
    </xf>
    <xf numFmtId="0" fontId="30" fillId="35" borderId="101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AL_VALUE_테이블(1)" xfId="63"/>
    <cellStyle name="Hyperlink" xfId="64"/>
  </cellStyles>
  <dxfs count="11">
    <dxf>
      <font>
        <color rgb="FFFF0000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b/>
        <i val="0"/>
        <color theme="1"/>
      </font>
      <fill>
        <patternFill>
          <bgColor rgb="FFFFC7CE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DC Bias Characteristics</a:t>
            </a:r>
          </a:p>
        </c:rich>
      </c:tx>
      <c:layout>
        <c:manualLayout>
          <c:xMode val="factor"/>
          <c:yMode val="factor"/>
          <c:x val="-0.04925"/>
          <c:y val="-0.02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05675"/>
          <c:w val="0.96625"/>
          <c:h val="0.87625"/>
        </c:manualLayout>
      </c:layout>
      <c:lineChart>
        <c:grouping val="standard"/>
        <c:varyColors val="0"/>
        <c:ser>
          <c:idx val="2"/>
          <c:order val="0"/>
          <c:tx>
            <c:strRef>
              <c:f>'E Core Design Tool'!$P$55</c:f>
              <c:strCache>
                <c:ptCount val="1"/>
                <c:pt idx="0">
                  <c:v>026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'E Core Design Tool'!$N$56:$N$106</c:f>
              <c:numCache/>
            </c:numRef>
          </c:cat>
          <c:val>
            <c:numRef>
              <c:f>'E Core Design Tool'!$P$56:$P$106</c:f>
              <c:numCache/>
            </c:numRef>
          </c:val>
          <c:smooth val="0"/>
        </c:ser>
        <c:ser>
          <c:idx val="3"/>
          <c:order val="1"/>
          <c:tx>
            <c:strRef>
              <c:f>'E Core Design Tool'!$Q$55</c:f>
              <c:strCache>
                <c:ptCount val="1"/>
                <c:pt idx="0">
                  <c:v>040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 Core Design Tool'!$N$56:$N$106</c:f>
              <c:numCache/>
            </c:numRef>
          </c:cat>
          <c:val>
            <c:numRef>
              <c:f>'E Core Design Tool'!$Q$56:$Q$106</c:f>
              <c:numCache/>
            </c:numRef>
          </c:val>
          <c:smooth val="0"/>
        </c:ser>
        <c:ser>
          <c:idx val="4"/>
          <c:order val="2"/>
          <c:tx>
            <c:strRef>
              <c:f>'E Core Design Tool'!$R$55</c:f>
              <c:strCache>
                <c:ptCount val="1"/>
                <c:pt idx="0">
                  <c:v>060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 Core Design Tool'!$N$56:$N$106</c:f>
              <c:numCache/>
            </c:numRef>
          </c:cat>
          <c:val>
            <c:numRef>
              <c:f>'E Core Design Tool'!$R$56:$R$106</c:f>
              <c:numCache/>
            </c:numRef>
          </c:val>
          <c:smooth val="0"/>
        </c:ser>
        <c:ser>
          <c:idx val="0"/>
          <c:order val="3"/>
          <c:tx>
            <c:strRef>
              <c:f>'E Core Design Tool'!$S$55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'E Core Design Tool'!$S$56:$S$106</c:f>
              <c:numCache/>
            </c:numRef>
          </c:val>
          <c:smooth val="0"/>
        </c:ser>
        <c:ser>
          <c:idx val="1"/>
          <c:order val="4"/>
          <c:tx>
            <c:strRef>
              <c:f>'E Core Design Tool'!$T$55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'E Core Design Tool'!$T$56:$T$106</c:f>
              <c:numCache/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_);[Red]\(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4649"/>
        <c:crosses val="autoZero"/>
        <c:auto val="1"/>
        <c:lblOffset val="100"/>
        <c:tickLblSkip val="3"/>
        <c:tickMarkSkip val="3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Inductance [uH]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0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08325"/>
          <c:w val="0.0632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352425</xdr:colOff>
      <xdr:row>36</xdr:row>
      <xdr:rowOff>66675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rcRect l="17109" t="14941" r="5000" b="18261"/>
        <a:stretch>
          <a:fillRect/>
        </a:stretch>
      </xdr:blipFill>
      <xdr:spPr>
        <a:xfrm>
          <a:off x="0" y="0"/>
          <a:ext cx="9496425" cy="6515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19</xdr:col>
      <xdr:colOff>133350</xdr:colOff>
      <xdr:row>64</xdr:row>
      <xdr:rowOff>66675</xdr:rowOff>
    </xdr:to>
    <xdr:graphicFrame>
      <xdr:nvGraphicFramePr>
        <xdr:cNvPr id="1" name="Chart 9"/>
        <xdr:cNvGraphicFramePr/>
      </xdr:nvGraphicFramePr>
      <xdr:xfrm>
        <a:off x="0" y="7953375"/>
        <a:ext cx="12287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123825</xdr:colOff>
      <xdr:row>4</xdr:row>
      <xdr:rowOff>190500</xdr:rowOff>
    </xdr:from>
    <xdr:to>
      <xdr:col>12</xdr:col>
      <xdr:colOff>619125</xdr:colOff>
      <xdr:row>6</xdr:row>
      <xdr:rowOff>247650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38391" t="51339" r="38391" b="35067"/>
        <a:stretch>
          <a:fillRect/>
        </a:stretch>
      </xdr:blipFill>
      <xdr:spPr>
        <a:xfrm>
          <a:off x="6762750" y="1381125"/>
          <a:ext cx="14192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38100</xdr:rowOff>
    </xdr:from>
    <xdr:to>
      <xdr:col>9</xdr:col>
      <xdr:colOff>552450</xdr:colOff>
      <xdr:row>7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38391" t="29064" r="38391" b="50025"/>
        <a:stretch>
          <a:fillRect/>
        </a:stretch>
      </xdr:blipFill>
      <xdr:spPr>
        <a:xfrm>
          <a:off x="4229100" y="1228725"/>
          <a:ext cx="14192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20</xdr:row>
      <xdr:rowOff>152400</xdr:rowOff>
    </xdr:from>
    <xdr:to>
      <xdr:col>10</xdr:col>
      <xdr:colOff>828675</xdr:colOff>
      <xdr:row>24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38391" t="51339" r="38391" b="35067"/>
        <a:stretch>
          <a:fillRect/>
        </a:stretch>
      </xdr:blipFill>
      <xdr:spPr>
        <a:xfrm>
          <a:off x="5657850" y="3790950"/>
          <a:ext cx="14192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8</xdr:col>
      <xdr:colOff>285750</xdr:colOff>
      <xdr:row>25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38391" t="29064" r="38391" b="50025"/>
        <a:stretch>
          <a:fillRect/>
        </a:stretch>
      </xdr:blipFill>
      <xdr:spPr>
        <a:xfrm>
          <a:off x="3705225" y="3638550"/>
          <a:ext cx="14097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8</xdr:col>
      <xdr:colOff>171450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52" t="34698" r="69102" b="58692"/>
        <a:stretch>
          <a:fillRect/>
        </a:stretch>
      </xdr:blipFill>
      <xdr:spPr>
        <a:xfrm>
          <a:off x="3295650" y="57150"/>
          <a:ext cx="18669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381000</xdr:rowOff>
    </xdr:from>
    <xdr:to>
      <xdr:col>15</xdr:col>
      <xdr:colOff>323850</xdr:colOff>
      <xdr:row>1</xdr:row>
      <xdr:rowOff>400050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rcRect l="22969" t="33203" r="61874" b="62402"/>
        <a:stretch>
          <a:fillRect/>
        </a:stretch>
      </xdr:blipFill>
      <xdr:spPr>
        <a:xfrm>
          <a:off x="8658225" y="381000"/>
          <a:ext cx="18478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2</xdr:row>
      <xdr:rowOff>0</xdr:rowOff>
    </xdr:from>
    <xdr:to>
      <xdr:col>18</xdr:col>
      <xdr:colOff>723900</xdr:colOff>
      <xdr:row>14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38391" t="27685" r="38391" b="35067"/>
        <a:stretch>
          <a:fillRect/>
        </a:stretch>
      </xdr:blipFill>
      <xdr:spPr>
        <a:xfrm>
          <a:off x="8496300" y="438150"/>
          <a:ext cx="2095500" cy="2752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O6"/>
  <sheetViews>
    <sheetView zoomScalePageLayoutView="0" workbookViewId="0" topLeftCell="A1">
      <selection activeCell="O18" sqref="O18"/>
    </sheetView>
  </sheetViews>
  <sheetFormatPr defaultColWidth="8.88671875" defaultRowHeight="13.5"/>
  <cols>
    <col min="13" max="13" width="4.77734375" style="0" customWidth="1"/>
    <col min="14" max="14" width="13.5546875" style="0" customWidth="1"/>
    <col min="15" max="15" width="10.21484375" style="0" customWidth="1"/>
  </cols>
  <sheetData>
    <row r="3" ht="14.25" thickBot="1"/>
    <row r="4" spans="14:15" ht="19.5" thickBot="1">
      <c r="N4" s="132" t="s">
        <v>62</v>
      </c>
      <c r="O4" s="133">
        <v>100</v>
      </c>
    </row>
    <row r="5" spans="14:15" ht="19.5" thickBot="1">
      <c r="N5" s="132" t="s">
        <v>60</v>
      </c>
      <c r="O5" s="134">
        <v>35</v>
      </c>
    </row>
    <row r="6" spans="14:15" ht="22.5" thickBot="1">
      <c r="N6" s="132" t="s">
        <v>63</v>
      </c>
      <c r="O6" s="135">
        <f>O4*0.001*O5*O5</f>
        <v>122.5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4"/>
  <sheetViews>
    <sheetView tabSelected="1" zoomScale="90" zoomScaleNormal="90" workbookViewId="0" topLeftCell="A1">
      <selection activeCell="G5" sqref="G5"/>
    </sheetView>
  </sheetViews>
  <sheetFormatPr defaultColWidth="8.88671875" defaultRowHeight="13.5"/>
  <cols>
    <col min="1" max="1" width="7.6640625" style="31" customWidth="1"/>
    <col min="2" max="2" width="2.77734375" style="31" customWidth="1"/>
    <col min="3" max="3" width="7.10546875" style="31" customWidth="1"/>
    <col min="4" max="4" width="3.3359375" style="31" customWidth="1"/>
    <col min="5" max="5" width="6.99609375" style="31" customWidth="1"/>
    <col min="6" max="6" width="5.3359375" style="31" customWidth="1"/>
    <col min="7" max="7" width="5.6640625" style="31" customWidth="1"/>
    <col min="8" max="8" width="10.4453125" style="31" customWidth="1"/>
    <col min="9" max="9" width="10.10546875" style="31" customWidth="1"/>
    <col min="10" max="10" width="9.4453125" style="31" customWidth="1"/>
    <col min="11" max="11" width="8.5546875" style="31" customWidth="1"/>
    <col min="12" max="12" width="10.77734375" style="31" customWidth="1"/>
    <col min="13" max="13" width="8.88671875" style="31" customWidth="1"/>
    <col min="14" max="14" width="8.4453125" style="31" customWidth="1"/>
    <col min="15" max="15" width="7.77734375" style="31" customWidth="1"/>
    <col min="16" max="16" width="7.3359375" style="31" customWidth="1"/>
    <col min="17" max="17" width="6.88671875" style="31" customWidth="1"/>
    <col min="18" max="19" width="7.10546875" style="31" customWidth="1"/>
    <col min="20" max="20" width="6.21484375" style="31" customWidth="1"/>
    <col min="21" max="21" width="6.5546875" style="31" customWidth="1"/>
    <col min="22" max="22" width="7.77734375" style="31" customWidth="1"/>
    <col min="23" max="23" width="6.88671875" style="31" customWidth="1"/>
    <col min="24" max="24" width="7.99609375" style="31" customWidth="1"/>
    <col min="25" max="16384" width="8.88671875" style="31" customWidth="1"/>
  </cols>
  <sheetData>
    <row r="1" spans="1:9" ht="23.25" thickBot="1">
      <c r="A1" s="30" t="s">
        <v>104</v>
      </c>
      <c r="I1" s="32"/>
    </row>
    <row r="2" spans="7:23" ht="18.75" customHeight="1" thickBot="1" thickTop="1">
      <c r="G2" s="206" t="s">
        <v>70</v>
      </c>
      <c r="H2" s="207"/>
      <c r="O2" s="150"/>
      <c r="P2" s="150"/>
      <c r="Q2" s="424" t="s">
        <v>11</v>
      </c>
      <c r="R2" s="368"/>
      <c r="S2" s="415">
        <f>VLOOKUP($D$4,'E Core Dimension'!$A:$J,10,0)</f>
        <v>9.84</v>
      </c>
      <c r="T2" s="416"/>
      <c r="U2" s="83"/>
      <c r="W2" s="38"/>
    </row>
    <row r="3" spans="1:23" ht="25.5" customHeight="1" thickBot="1" thickTop="1">
      <c r="A3" s="399" t="s">
        <v>52</v>
      </c>
      <c r="B3" s="400"/>
      <c r="C3" s="401"/>
      <c r="D3" s="399" t="s">
        <v>105</v>
      </c>
      <c r="E3" s="401"/>
      <c r="G3" s="354" t="s">
        <v>71</v>
      </c>
      <c r="H3" s="336"/>
      <c r="I3" s="151" t="s">
        <v>37</v>
      </c>
      <c r="J3" s="151" t="s">
        <v>65</v>
      </c>
      <c r="K3" s="151" t="s">
        <v>66</v>
      </c>
      <c r="L3" s="151" t="s">
        <v>97</v>
      </c>
      <c r="M3" s="151" t="s">
        <v>67</v>
      </c>
      <c r="N3" s="152" t="s">
        <v>68</v>
      </c>
      <c r="O3" s="153" t="s">
        <v>69</v>
      </c>
      <c r="P3" s="156" t="s">
        <v>98</v>
      </c>
      <c r="Q3" s="371" t="s">
        <v>42</v>
      </c>
      <c r="R3" s="372"/>
      <c r="S3" s="417">
        <f>VLOOKUP($D$4,'E Core Dimension'!$A:$K,11,0)*$D$5</f>
        <v>1.28</v>
      </c>
      <c r="T3" s="418"/>
      <c r="U3" s="35"/>
      <c r="W3" s="38"/>
    </row>
    <row r="4" spans="1:23" ht="26.25" customHeight="1" thickBot="1" thickTop="1">
      <c r="A4" s="513" t="s">
        <v>103</v>
      </c>
      <c r="B4" s="514"/>
      <c r="C4" s="515"/>
      <c r="D4" s="404" t="s">
        <v>304</v>
      </c>
      <c r="E4" s="405"/>
      <c r="G4" s="355"/>
      <c r="H4" s="356"/>
      <c r="I4" s="305">
        <f>VLOOKUP($D$4,'E Core Dimension'!$A:$B,2,0)</f>
        <v>42.8</v>
      </c>
      <c r="J4" s="306">
        <f>VLOOKUP($D$4,'E Core Dimension'!$A:$C,3,0)</f>
        <v>21.1</v>
      </c>
      <c r="K4" s="307">
        <f>VLOOKUP($D$4,'E Core Dimension'!$A:$D,4,0)*D5</f>
        <v>10.8</v>
      </c>
      <c r="L4" s="306">
        <f>VLOOKUP($D$4,'E Core Dimension'!$A:$E,5,0)</f>
        <v>15</v>
      </c>
      <c r="M4" s="306">
        <f>VLOOKUP($D$4,'E Core Dimension'!$A:$F,6,0)</f>
        <v>30.4</v>
      </c>
      <c r="N4" s="306">
        <f>VLOOKUP($D$4,'E Core Dimension'!$A:$G,7,0)</f>
        <v>11.7</v>
      </c>
      <c r="O4" s="306">
        <f>VLOOKUP($D$4,'E Core Dimension'!$A:$H,8,0)</f>
        <v>5.9</v>
      </c>
      <c r="P4" s="308">
        <f>VLOOKUP($D$4,'E Core Dimension'!$A:$I,9,0)</f>
        <v>9.5</v>
      </c>
      <c r="Q4" s="367" t="s">
        <v>13</v>
      </c>
      <c r="R4" s="368"/>
      <c r="S4" s="420">
        <f>VLOOKUP($D$4,'E Core Dimension'!$A:$L,12,0)</f>
        <v>2.85</v>
      </c>
      <c r="T4" s="421"/>
      <c r="U4" s="83"/>
      <c r="W4" s="38"/>
    </row>
    <row r="5" spans="1:23" ht="20.25" customHeight="1" thickBot="1" thickTop="1">
      <c r="A5" s="402" t="s">
        <v>44</v>
      </c>
      <c r="B5" s="403"/>
      <c r="C5" s="403"/>
      <c r="D5" s="66">
        <v>1</v>
      </c>
      <c r="G5" s="177"/>
      <c r="H5" s="177"/>
      <c r="I5" s="429"/>
      <c r="J5" s="429"/>
      <c r="K5" s="155"/>
      <c r="L5" s="391"/>
      <c r="M5" s="391"/>
      <c r="N5" s="391"/>
      <c r="O5" s="369"/>
      <c r="P5" s="369"/>
      <c r="Q5" s="424" t="s">
        <v>12</v>
      </c>
      <c r="R5" s="368"/>
      <c r="S5" s="422">
        <f>VLOOKUP($D$4,'E Core Dimension'!$A:$M,13,0)*$D$5</f>
        <v>12.5952</v>
      </c>
      <c r="T5" s="423"/>
      <c r="U5" s="84"/>
      <c r="W5" s="38"/>
    </row>
    <row r="6" spans="1:23" ht="27" customHeight="1" thickTop="1">
      <c r="A6" s="95"/>
      <c r="B6" s="95"/>
      <c r="C6" s="95"/>
      <c r="D6" s="139"/>
      <c r="G6" s="370"/>
      <c r="H6" s="370"/>
      <c r="I6" s="370"/>
      <c r="J6" s="419"/>
      <c r="K6" s="419"/>
      <c r="L6" s="154"/>
      <c r="M6" s="391"/>
      <c r="N6" s="391"/>
      <c r="O6" s="391"/>
      <c r="P6" s="369"/>
      <c r="Q6" s="369"/>
      <c r="R6" s="35"/>
      <c r="S6" s="35"/>
      <c r="T6" s="35"/>
      <c r="U6" s="84"/>
      <c r="V6" s="84"/>
      <c r="W6" s="84"/>
    </row>
    <row r="7" spans="1:23" ht="21" customHeight="1">
      <c r="A7" s="95"/>
      <c r="B7" s="95"/>
      <c r="C7" s="95"/>
      <c r="D7" s="110"/>
      <c r="G7" s="35"/>
      <c r="H7" s="35"/>
      <c r="I7" s="35"/>
      <c r="J7" s="35"/>
      <c r="K7" s="35"/>
      <c r="L7" s="35"/>
      <c r="M7" s="35"/>
      <c r="N7" s="35"/>
      <c r="O7" s="94"/>
      <c r="P7" s="35"/>
      <c r="Q7" s="35"/>
      <c r="R7" s="35"/>
      <c r="S7" s="208"/>
      <c r="T7" s="35"/>
      <c r="U7" s="84"/>
      <c r="V7" s="84"/>
      <c r="W7" s="84"/>
    </row>
    <row r="8" spans="1:23" ht="18" thickBot="1">
      <c r="A8" s="95"/>
      <c r="B8" s="95"/>
      <c r="C8" s="95"/>
      <c r="D8" s="110"/>
      <c r="G8" s="35"/>
      <c r="H8" s="35"/>
      <c r="I8" s="35"/>
      <c r="J8" s="35"/>
      <c r="K8" s="35"/>
      <c r="L8" s="35"/>
      <c r="M8" s="35"/>
      <c r="N8" s="129"/>
      <c r="O8" s="108"/>
      <c r="P8" s="109"/>
      <c r="Q8" s="109"/>
      <c r="R8" s="109"/>
      <c r="S8" s="35"/>
      <c r="T8" s="35"/>
      <c r="U8" s="35"/>
      <c r="V8" s="84"/>
      <c r="W8" s="84"/>
    </row>
    <row r="9" spans="1:20" ht="16.5" thickBot="1" thickTop="1">
      <c r="A9" s="149" t="s">
        <v>61</v>
      </c>
      <c r="B9" s="136"/>
      <c r="C9" s="136"/>
      <c r="D9" s="136"/>
      <c r="E9" s="136"/>
      <c r="F9" s="136"/>
      <c r="G9" s="137"/>
      <c r="H9" s="137"/>
      <c r="I9" s="137"/>
      <c r="J9" s="138"/>
      <c r="K9" s="138"/>
      <c r="L9" s="138"/>
      <c r="M9" s="225"/>
      <c r="P9" s="129" t="s">
        <v>64</v>
      </c>
      <c r="Q9" s="35"/>
      <c r="R9" s="84"/>
      <c r="S9" s="84"/>
      <c r="T9" s="84"/>
    </row>
    <row r="10" spans="1:21" ht="15.75" thickBot="1" thickTop="1">
      <c r="A10" s="390" t="s">
        <v>15</v>
      </c>
      <c r="B10" s="385"/>
      <c r="C10" s="385"/>
      <c r="D10" s="385"/>
      <c r="E10" s="464">
        <v>81</v>
      </c>
      <c r="F10" s="465"/>
      <c r="G10" s="397" t="s">
        <v>17</v>
      </c>
      <c r="H10" s="397"/>
      <c r="I10" s="397"/>
      <c r="J10" s="326">
        <f>E11*E10/S4</f>
        <v>44.75755388779029</v>
      </c>
      <c r="K10" s="367" t="s">
        <v>211</v>
      </c>
      <c r="L10" s="368"/>
      <c r="M10" s="318">
        <f>VLOOKUP(E13,'E Core AL'!M1:N3,2,0)*E12*E10*0.001/(E11*0.01)</f>
        <v>51.152118141896025</v>
      </c>
      <c r="N10" s="37"/>
      <c r="O10" s="74"/>
      <c r="P10" s="357" t="s">
        <v>208</v>
      </c>
      <c r="Q10" s="363" t="s">
        <v>209</v>
      </c>
      <c r="R10" s="364"/>
      <c r="S10" s="365" t="s">
        <v>41</v>
      </c>
      <c r="T10" s="366"/>
      <c r="U10" s="39"/>
    </row>
    <row r="11" spans="1:21" ht="15" customHeight="1" thickBot="1" thickTop="1">
      <c r="A11" s="467" t="s">
        <v>22</v>
      </c>
      <c r="B11" s="463"/>
      <c r="C11" s="463"/>
      <c r="D11" s="468"/>
      <c r="E11" s="412">
        <f>E15^2/4*3.141592</f>
        <v>1.5748028219778065</v>
      </c>
      <c r="F11" s="412"/>
      <c r="G11" s="384" t="s">
        <v>300</v>
      </c>
      <c r="H11" s="385"/>
      <c r="I11" s="385"/>
      <c r="J11" s="65">
        <v>10</v>
      </c>
      <c r="K11" s="367" t="s">
        <v>219</v>
      </c>
      <c r="L11" s="368"/>
      <c r="M11" s="325">
        <v>73</v>
      </c>
      <c r="N11" s="37"/>
      <c r="O11" s="85"/>
      <c r="P11" s="358"/>
      <c r="Q11" s="104" t="s">
        <v>54</v>
      </c>
      <c r="R11" s="104" t="s">
        <v>55</v>
      </c>
      <c r="S11" s="104" t="s">
        <v>54</v>
      </c>
      <c r="T11" s="213" t="s">
        <v>55</v>
      </c>
      <c r="U11" s="91"/>
    </row>
    <row r="12" spans="1:21" ht="16.5" thickBot="1" thickTop="1">
      <c r="A12" s="461" t="s">
        <v>16</v>
      </c>
      <c r="B12" s="462"/>
      <c r="C12" s="462"/>
      <c r="D12" s="354"/>
      <c r="E12" s="469">
        <f>(K4+N4)*2*0.1*1.3</f>
        <v>5.8500000000000005</v>
      </c>
      <c r="F12" s="470"/>
      <c r="G12" s="384" t="s">
        <v>14</v>
      </c>
      <c r="H12" s="385"/>
      <c r="I12" s="385"/>
      <c r="J12" s="312">
        <v>10</v>
      </c>
      <c r="K12" s="463" t="s">
        <v>210</v>
      </c>
      <c r="L12" s="463"/>
      <c r="M12" s="317">
        <f>M10*(1+39.3*10^(-4)*(M11-20))</f>
        <v>61.80659282967155</v>
      </c>
      <c r="N12" s="37"/>
      <c r="O12" s="85"/>
      <c r="P12" s="229" t="str">
        <f>L33</f>
        <v>026</v>
      </c>
      <c r="Q12" s="320">
        <f aca="true" t="shared" si="0" ref="Q12:R15">S33+$M$13</f>
        <v>7.214988379445206</v>
      </c>
      <c r="R12" s="321">
        <f t="shared" si="0"/>
        <v>10.822494429033295</v>
      </c>
      <c r="S12" s="147">
        <f aca="true" t="shared" si="1" ref="S12:T15">(($M$13+S33)*1000/$E$17)^0.833</f>
        <v>53.929183413543406</v>
      </c>
      <c r="T12" s="214">
        <f t="shared" si="1"/>
        <v>75.59764376237466</v>
      </c>
      <c r="U12" s="91"/>
    </row>
    <row r="13" spans="1:21" ht="16.5" thickBot="1" thickTop="1">
      <c r="A13" s="390" t="s">
        <v>214</v>
      </c>
      <c r="B13" s="385"/>
      <c r="C13" s="385"/>
      <c r="D13" s="385"/>
      <c r="E13" s="333" t="s">
        <v>218</v>
      </c>
      <c r="F13" s="334"/>
      <c r="G13" s="385" t="s">
        <v>301</v>
      </c>
      <c r="H13" s="385"/>
      <c r="I13" s="385"/>
      <c r="J13" s="103">
        <v>40</v>
      </c>
      <c r="K13" s="335" t="s">
        <v>298</v>
      </c>
      <c r="L13" s="336"/>
      <c r="M13" s="317">
        <f>M12*0.001*J11^2</f>
        <v>6.180659282967156</v>
      </c>
      <c r="N13" s="37"/>
      <c r="O13" s="85"/>
      <c r="P13" s="229" t="str">
        <f>L34</f>
        <v>040</v>
      </c>
      <c r="Q13" s="322">
        <f t="shared" si="0"/>
        <v>7.170973809746727</v>
      </c>
      <c r="R13" s="323">
        <f t="shared" si="0"/>
        <v>10.594267915174953</v>
      </c>
      <c r="S13" s="148">
        <f t="shared" si="1"/>
        <v>53.65499356984666</v>
      </c>
      <c r="T13" s="215">
        <f t="shared" si="1"/>
        <v>74.26730458390651</v>
      </c>
      <c r="U13" s="91"/>
    </row>
    <row r="14" spans="1:21" ht="16.5" thickBot="1" thickTop="1">
      <c r="A14" s="390" t="s">
        <v>24</v>
      </c>
      <c r="B14" s="385"/>
      <c r="C14" s="385"/>
      <c r="D14" s="385"/>
      <c r="E14" s="359">
        <v>6.35</v>
      </c>
      <c r="F14" s="360"/>
      <c r="G14" s="413" t="s">
        <v>302</v>
      </c>
      <c r="H14" s="414"/>
      <c r="I14" s="414"/>
      <c r="J14" s="324">
        <v>2</v>
      </c>
      <c r="K14" s="342" t="s">
        <v>299</v>
      </c>
      <c r="L14" s="343"/>
      <c r="M14" s="316">
        <f>M12*0.001*J12^2</f>
        <v>6.180659282967156</v>
      </c>
      <c r="O14" s="85"/>
      <c r="P14" s="229" t="str">
        <f>L35</f>
        <v>060</v>
      </c>
      <c r="Q14" s="322">
        <f t="shared" si="0"/>
        <v>7.124325309191769</v>
      </c>
      <c r="R14" s="323">
        <f t="shared" si="0"/>
        <v>10.354421089741091</v>
      </c>
      <c r="S14" s="148">
        <f t="shared" si="1"/>
        <v>53.3640886027147</v>
      </c>
      <c r="T14" s="215">
        <f t="shared" si="1"/>
        <v>72.86406056352683</v>
      </c>
      <c r="U14" s="91"/>
    </row>
    <row r="15" spans="1:21" ht="16.5" thickBot="1" thickTop="1">
      <c r="A15" s="373" t="s">
        <v>39</v>
      </c>
      <c r="B15" s="374"/>
      <c r="C15" s="374"/>
      <c r="D15" s="375"/>
      <c r="E15" s="394">
        <f>SQRT((J11/E14)*4/PI())</f>
        <v>1.4160161175820791</v>
      </c>
      <c r="F15" s="395"/>
      <c r="G15" s="384" t="s">
        <v>303</v>
      </c>
      <c r="H15" s="385"/>
      <c r="I15" s="385"/>
      <c r="J15" s="314">
        <v>450</v>
      </c>
      <c r="K15" s="344" t="s">
        <v>220</v>
      </c>
      <c r="L15" s="345"/>
      <c r="M15" s="329">
        <f>E11*0.01*E12*E10*VLOOKUP(E13,'E Core AL'!M1:O3,3,0)</f>
        <v>66.86134042059886</v>
      </c>
      <c r="O15" s="85"/>
      <c r="P15" s="229" t="e">
        <f>L36</f>
        <v>#N/A</v>
      </c>
      <c r="Q15" s="322" t="e">
        <f t="shared" si="0"/>
        <v>#N/A</v>
      </c>
      <c r="R15" s="323" t="e">
        <f t="shared" si="0"/>
        <v>#N/A</v>
      </c>
      <c r="S15" s="148" t="e">
        <f t="shared" si="1"/>
        <v>#N/A</v>
      </c>
      <c r="T15" s="215" t="e">
        <f t="shared" si="1"/>
        <v>#N/A</v>
      </c>
      <c r="U15" s="111"/>
    </row>
    <row r="16" spans="1:21" ht="16.5" thickBot="1" thickTop="1">
      <c r="A16" s="477" t="s">
        <v>293</v>
      </c>
      <c r="B16" s="478"/>
      <c r="C16" s="478"/>
      <c r="D16" s="479"/>
      <c r="E16" s="480">
        <v>1</v>
      </c>
      <c r="F16" s="481"/>
      <c r="G16" s="313" t="s">
        <v>294</v>
      </c>
      <c r="H16" s="319">
        <f>ROUND(E11/(PI()*(E16/2)^2),0)</f>
        <v>2</v>
      </c>
      <c r="I16" s="482" t="s">
        <v>295</v>
      </c>
      <c r="J16" s="482"/>
      <c r="K16" s="483"/>
      <c r="L16" s="304">
        <f>PI()*(E16/2)^2*H16</f>
        <v>1.5707963267948966</v>
      </c>
      <c r="M16" s="315"/>
      <c r="O16" s="85"/>
      <c r="P16" s="299"/>
      <c r="Q16" s="300"/>
      <c r="R16" s="301"/>
      <c r="S16" s="302"/>
      <c r="T16" s="303"/>
      <c r="U16" s="111"/>
    </row>
    <row r="17" spans="1:21" ht="18.75" customHeight="1" thickBot="1" thickTop="1">
      <c r="A17" s="471" t="s">
        <v>40</v>
      </c>
      <c r="B17" s="472"/>
      <c r="C17" s="472"/>
      <c r="D17" s="473"/>
      <c r="E17" s="392">
        <f>((I4*2*J4*2-2*L4*P4*2*2)+2*J4*K4*2+I4*K4*2+2*L4*K4*4+P4*K4*4)*0.01</f>
        <v>60.1472</v>
      </c>
      <c r="F17" s="393" t="e">
        <f>((#REF!*#REF!*2-#REF!*2*#REF!*2)*2+2*#REF!*#REF!*2+2*#REF!*#REF!*4+#REF!*#REF!*4)*0.01</f>
        <v>#REF!</v>
      </c>
      <c r="G17" s="475" t="s">
        <v>35</v>
      </c>
      <c r="H17" s="476"/>
      <c r="I17" s="164" t="s">
        <v>212</v>
      </c>
      <c r="J17" s="249" t="s">
        <v>213</v>
      </c>
      <c r="K17" s="178">
        <f>J12*1.2</f>
        <v>12</v>
      </c>
      <c r="L17" s="178"/>
      <c r="M17" s="165"/>
      <c r="O17" s="85"/>
      <c r="P17" s="230">
        <f>L37</f>
        <v>0</v>
      </c>
      <c r="Q17" s="216" t="e">
        <f>S37+$M$13</f>
        <v>#N/A</v>
      </c>
      <c r="R17" s="217" t="e">
        <f>T37+$M$13</f>
        <v>#N/A</v>
      </c>
      <c r="S17" s="218" t="e">
        <f>(($M$13+S37)*1000/$E$17)^0.833</f>
        <v>#N/A</v>
      </c>
      <c r="T17" s="219" t="e">
        <f>(($M$13+T37)*1000/$E$17)^0.833</f>
        <v>#N/A</v>
      </c>
      <c r="U17" s="93"/>
    </row>
    <row r="18" spans="1:21" ht="18" customHeight="1" thickBot="1">
      <c r="A18" s="386" t="s">
        <v>106</v>
      </c>
      <c r="B18" s="387"/>
      <c r="C18" s="387"/>
      <c r="D18" s="387"/>
      <c r="E18" s="396" t="s">
        <v>107</v>
      </c>
      <c r="F18" s="396"/>
      <c r="G18" s="332">
        <f>E11/K18</f>
        <v>5.380576308424173</v>
      </c>
      <c r="H18" s="332"/>
      <c r="I18" s="466" t="s">
        <v>108</v>
      </c>
      <c r="J18" s="466"/>
      <c r="K18" s="174">
        <f>L4*2*0.8/(E10+1)</f>
        <v>0.2926829268292683</v>
      </c>
      <c r="L18" s="174"/>
      <c r="M18" s="166"/>
      <c r="O18" s="85"/>
      <c r="P18" s="210"/>
      <c r="Q18" s="211"/>
      <c r="R18" s="211"/>
      <c r="S18" s="212"/>
      <c r="T18" s="212"/>
      <c r="U18" s="93"/>
    </row>
    <row r="19" spans="7:24" ht="15" customHeight="1" thickTop="1">
      <c r="G19" s="35"/>
      <c r="H19" s="40"/>
      <c r="I19" s="41"/>
      <c r="K19" s="42"/>
      <c r="N19" s="78"/>
      <c r="O19" s="46"/>
      <c r="P19" s="82"/>
      <c r="Q19" s="46"/>
      <c r="R19" s="92"/>
      <c r="S19" s="210"/>
      <c r="T19" s="211"/>
      <c r="U19" s="211"/>
      <c r="V19" s="212"/>
      <c r="W19" s="212"/>
      <c r="X19" s="112"/>
    </row>
    <row r="20" spans="11:24" ht="27.75" customHeight="1">
      <c r="K20" s="43"/>
      <c r="L20" s="44"/>
      <c r="N20" s="45"/>
      <c r="P20" s="37"/>
      <c r="Q20" s="46"/>
      <c r="R20" s="46"/>
      <c r="S20" s="46"/>
      <c r="T20" s="46"/>
      <c r="U20" s="46"/>
      <c r="V20" s="46"/>
      <c r="W20" s="46"/>
      <c r="X20" s="46"/>
    </row>
    <row r="21" spans="1:23" ht="27.75" customHeight="1" hidden="1">
      <c r="A21" s="37" t="s">
        <v>25</v>
      </c>
      <c r="B21" s="37"/>
      <c r="C21" s="37"/>
      <c r="D21" s="37"/>
      <c r="E21" s="37"/>
      <c r="F21" s="37"/>
      <c r="G21" s="37"/>
      <c r="H21" s="37"/>
      <c r="I21" s="33" t="s">
        <v>33</v>
      </c>
      <c r="J21" s="37"/>
      <c r="K21" s="37"/>
      <c r="L21" s="37"/>
      <c r="M21" s="37"/>
      <c r="P21" s="46"/>
      <c r="Q21" s="474"/>
      <c r="R21" s="474"/>
      <c r="S21" s="474"/>
      <c r="T21" s="46"/>
      <c r="U21" s="46"/>
      <c r="V21" s="46"/>
      <c r="W21" s="46"/>
    </row>
    <row r="22" spans="1:23" ht="27.75" customHeight="1" hidden="1">
      <c r="A22" s="47" t="s">
        <v>26</v>
      </c>
      <c r="B22" s="47" t="s">
        <v>27</v>
      </c>
      <c r="C22" s="47" t="s">
        <v>28</v>
      </c>
      <c r="D22" s="47" t="s">
        <v>29</v>
      </c>
      <c r="E22" s="48"/>
      <c r="F22" s="29" t="s">
        <v>30</v>
      </c>
      <c r="G22" s="398" t="s">
        <v>31</v>
      </c>
      <c r="H22" s="398"/>
      <c r="I22" s="411" t="s">
        <v>32</v>
      </c>
      <c r="J22" s="411"/>
      <c r="K22" s="411" t="s">
        <v>110</v>
      </c>
      <c r="L22" s="411"/>
      <c r="M22" s="168" t="s">
        <v>111</v>
      </c>
      <c r="N22" s="85" t="s">
        <v>6</v>
      </c>
      <c r="O22" s="85"/>
      <c r="P22" s="81" t="s">
        <v>99</v>
      </c>
      <c r="Q22" s="46" t="s">
        <v>100</v>
      </c>
      <c r="R22" s="46" t="s">
        <v>101</v>
      </c>
      <c r="S22" s="46" t="s">
        <v>102</v>
      </c>
      <c r="T22" s="46"/>
      <c r="U22" s="38"/>
      <c r="V22" s="67"/>
      <c r="W22" s="67"/>
    </row>
    <row r="23" spans="1:23" ht="27.75" customHeight="1" hidden="1">
      <c r="A23" s="49" t="str">
        <f>VLOOKUP($A$4&amp;1,'E Core Function Parameter'!$A:$E,5,0)</f>
        <v>026</v>
      </c>
      <c r="B23" s="50">
        <f>VLOOKUP($A$4&amp;$A23,'E Core Function Parameter'!$B:$F,5,0)</f>
        <v>0.03868</v>
      </c>
      <c r="C23" s="50">
        <f>VLOOKUP($A$4&amp;$A23,'E Core Function Parameter'!$B:$G,6,0)</f>
        <v>2.8667E-07</v>
      </c>
      <c r="D23" s="50">
        <f>VLOOKUP($A$4&amp;$A$23,'E Core Function Parameter'!$B:$H,7,0)</f>
        <v>2.93141</v>
      </c>
      <c r="E23" s="52"/>
      <c r="F23" s="53" t="str">
        <f>VLOOKUP($A$4&amp;$D$4&amp;1,'E Core AL'!$A:$G,7,0)</f>
        <v>026</v>
      </c>
      <c r="G23" s="341">
        <f>VLOOKUP($A$4&amp;$F23,'E Core Function Parameter'!$B:$O,14,0)</f>
        <v>2.166</v>
      </c>
      <c r="H23" s="341"/>
      <c r="I23" s="341">
        <f>VLOOKUP($A$4&amp;$F23,'E Core Function Parameter'!$B:$P,15,0)</f>
        <v>9.918</v>
      </c>
      <c r="J23" s="341"/>
      <c r="K23" s="341">
        <f>VLOOKUP($A$4&amp;$F23,'E Core Function Parameter'!$B:$Q,16,0)</f>
        <v>0.0519</v>
      </c>
      <c r="L23" s="341"/>
      <c r="M23" s="168">
        <f>VLOOKUP($A$4&amp;$F23,'E Core Function Parameter'!$B:$R,17,0)</f>
        <v>2.061</v>
      </c>
      <c r="N23" s="105" t="str">
        <f>VLOOKUP($A$4&amp;1,'E Core Function Parameter'!$A:$E,5,0)</f>
        <v>026</v>
      </c>
      <c r="O23" s="105"/>
      <c r="P23" s="82">
        <f>VLOOKUP($A$4&amp;$D$4&amp;$N23,'E Core AL'!$B:$H,7,0)</f>
        <v>56</v>
      </c>
      <c r="Q23" s="82">
        <f>VLOOKUP($A$4&amp;$D$4&amp;$N23,'E Core AL'!$B:$I,8,0)</f>
        <v>0.02963</v>
      </c>
      <c r="R23" s="82">
        <f>VLOOKUP($A$4&amp;$D$4&amp;$N23,'E Core AL'!$B:$J,9,0)</f>
        <v>3.62935E-07</v>
      </c>
      <c r="S23" s="82">
        <f>VLOOKUP($A$4&amp;$D$4&amp;$N23,'E Core AL'!$B:$K,10,0)</f>
        <v>2.86994</v>
      </c>
      <c r="T23" s="51"/>
      <c r="U23" s="38"/>
      <c r="V23" s="67"/>
      <c r="W23" s="67"/>
    </row>
    <row r="24" spans="1:23" ht="27.75" customHeight="1" hidden="1">
      <c r="A24" s="49" t="str">
        <f>VLOOKUP($A$4&amp;2,'E Core Function Parameter'!$A:$E,5,0)</f>
        <v>040</v>
      </c>
      <c r="B24" s="50">
        <f>VLOOKUP($A$4&amp;$A24,'E Core Function Parameter'!$B:$F,5,0)</f>
        <v>0.0201</v>
      </c>
      <c r="C24" s="50">
        <f>VLOOKUP($A$4&amp;$A24,'E Core Function Parameter'!$B:$G,6,0)</f>
        <v>1.60542E-07</v>
      </c>
      <c r="D24" s="50">
        <f>VLOOKUP($A$4&amp;$A24,'E Core Function Parameter'!$B:$H,7,0)</f>
        <v>3.13248</v>
      </c>
      <c r="E24" s="52"/>
      <c r="F24" s="53" t="str">
        <f>VLOOKUP($A$4&amp;$D$4&amp;2,'E Core AL'!$A:$G,7,0)</f>
        <v>040</v>
      </c>
      <c r="G24" s="341">
        <f>VLOOKUP($A$4&amp;$F24,'E Core Function Parameter'!$B:$O,14,0)</f>
        <v>2.156</v>
      </c>
      <c r="H24" s="341"/>
      <c r="I24" s="341">
        <f>VLOOKUP($A$4&amp;$F24,'E Core Function Parameter'!$B:$P,15,0)</f>
        <v>9.396</v>
      </c>
      <c r="J24" s="341"/>
      <c r="K24" s="341">
        <f>VLOOKUP($A$4&amp;$F24,'E Core Function Parameter'!$B:$Q,16,0)</f>
        <v>0.0576</v>
      </c>
      <c r="L24" s="341"/>
      <c r="M24" s="168">
        <f>VLOOKUP($A$4&amp;$F24,'E Core Function Parameter'!$B:$R,17,0)</f>
        <v>2.021</v>
      </c>
      <c r="N24" s="105" t="str">
        <f>VLOOKUP($A$4&amp;2,'E Core Function Parameter'!$A:$E,5,0)</f>
        <v>040</v>
      </c>
      <c r="O24" s="105"/>
      <c r="P24" s="82">
        <f>VLOOKUP($A$4&amp;$D$4&amp;$N24,'E Core AL'!$B:$H,7,0)</f>
        <v>76</v>
      </c>
      <c r="Q24" s="82">
        <f>VLOOKUP($A$4&amp;$D$4&amp;$N24,'E Core AL'!$B:$I,8,0)</f>
        <v>0.02195</v>
      </c>
      <c r="R24" s="82">
        <f>VLOOKUP($A$4&amp;$D$4&amp;$N24,'E Core AL'!$B:$J,9,0)</f>
        <v>2.60767E-07</v>
      </c>
      <c r="S24" s="82">
        <f>VLOOKUP($A$4&amp;$D$4&amp;$N24,'E Core AL'!$B:$K,10,0)</f>
        <v>3.02801</v>
      </c>
      <c r="T24" s="51"/>
      <c r="U24" s="38"/>
      <c r="V24" s="67"/>
      <c r="W24" s="67"/>
    </row>
    <row r="25" spans="1:23" ht="27.75" customHeight="1" hidden="1">
      <c r="A25" s="49" t="str">
        <f>VLOOKUP($A$4&amp;3,'E Core Function Parameter'!$A:$E,5,0)</f>
        <v>060</v>
      </c>
      <c r="B25" s="50">
        <f>VLOOKUP($A$4&amp;$A25,'E Core Function Parameter'!$B:$F,5,0)</f>
        <v>0.0167</v>
      </c>
      <c r="C25" s="50">
        <f>VLOOKUP($A$4&amp;$A25,'E Core Function Parameter'!$B:$G,6,0)</f>
        <v>2.81422E-07</v>
      </c>
      <c r="D25" s="50">
        <f>VLOOKUP($A$4&amp;$A25,'E Core Function Parameter'!$B:$H,7,0)</f>
        <v>3.10543</v>
      </c>
      <c r="E25" s="52"/>
      <c r="F25" s="53" t="str">
        <f>VLOOKUP($A$4&amp;$D$4&amp;3,'E Core AL'!$A:$G,7,0)</f>
        <v>060</v>
      </c>
      <c r="G25" s="341">
        <f>VLOOKUP($A$4&amp;$F25,'E Core Function Parameter'!$B:$O,14,0)</f>
        <v>2.145</v>
      </c>
      <c r="H25" s="341"/>
      <c r="I25" s="341">
        <f>VLOOKUP($A$4&amp;$F25,'E Core Function Parameter'!$B:$P,15,0)</f>
        <v>8.874</v>
      </c>
      <c r="J25" s="341"/>
      <c r="K25" s="341">
        <f>VLOOKUP($A$4&amp;$F25,'E Core Function Parameter'!$B:$Q,16,0)</f>
        <v>0.0632</v>
      </c>
      <c r="L25" s="341"/>
      <c r="M25" s="168">
        <f>VLOOKUP($A$4&amp;$F25,'E Core Function Parameter'!$B:$R,17,0)</f>
        <v>1.98</v>
      </c>
      <c r="N25" s="105" t="str">
        <f>VLOOKUP($A$4&amp;3,'E Core Function Parameter'!$A:$E,5,0)</f>
        <v>060</v>
      </c>
      <c r="O25" s="105"/>
      <c r="P25" s="82">
        <f>VLOOKUP($A$4&amp;$D$4&amp;$N25,'E Core AL'!$B:$H,7,0)</f>
        <v>105</v>
      </c>
      <c r="Q25" s="82">
        <f>VLOOKUP($A$4&amp;$D$4&amp;$N25,'E Core AL'!$B:$I,8,0)</f>
        <v>0.0158</v>
      </c>
      <c r="R25" s="82">
        <f>VLOOKUP($A$4&amp;$D$4&amp;$N25,'E Core AL'!$B:$J,9,0)</f>
        <v>5.27754E-07</v>
      </c>
      <c r="S25" s="82">
        <f>VLOOKUP($A$4&amp;$D$4&amp;$N25,'E Core AL'!$B:$K,10,0)</f>
        <v>2.99909</v>
      </c>
      <c r="T25" s="51"/>
      <c r="U25" s="38"/>
      <c r="V25" s="67"/>
      <c r="W25" s="67"/>
    </row>
    <row r="26" spans="1:23" ht="27.75" customHeight="1" hidden="1">
      <c r="A26" s="49">
        <f>VLOOKUP($A$4&amp;4,'E Core Function Parameter'!$A:$E,5,0)</f>
        <v>0</v>
      </c>
      <c r="B26" s="50" t="e">
        <f>VLOOKUP($A$4&amp;$A26,'E Core Function Parameter'!$B:$F,5,0)</f>
        <v>#N/A</v>
      </c>
      <c r="C26" s="50" t="e">
        <f>VLOOKUP($A$4&amp;$A26,'E Core Function Parameter'!$B:$G,6,0)</f>
        <v>#N/A</v>
      </c>
      <c r="D26" s="50" t="e">
        <f>VLOOKUP($A$4&amp;$A26,'E Core Function Parameter'!$B:$H,7,0)</f>
        <v>#N/A</v>
      </c>
      <c r="E26" s="52"/>
      <c r="F26" s="53" t="e">
        <f>VLOOKUP($A$4&amp;$D$4&amp;4,'E Core AL'!$A:$G,7,0)</f>
        <v>#N/A</v>
      </c>
      <c r="G26" s="341" t="e">
        <f>VLOOKUP($A$4&amp;$F26,'E Core Function Parameter'!$B:$O,14,0)</f>
        <v>#N/A</v>
      </c>
      <c r="H26" s="341"/>
      <c r="I26" s="341" t="e">
        <f>VLOOKUP($A$4&amp;$F26,'E Core Function Parameter'!$B:$P,15,0)</f>
        <v>#N/A</v>
      </c>
      <c r="J26" s="341"/>
      <c r="K26" s="341" t="e">
        <f>VLOOKUP($A$4&amp;$F26,'E Core Function Parameter'!$B:$Q,16,0)</f>
        <v>#N/A</v>
      </c>
      <c r="L26" s="341"/>
      <c r="M26" s="168" t="e">
        <f>VLOOKUP($A$4&amp;$F26,'E Core Function Parameter'!$B:$R,17,0)</f>
        <v>#N/A</v>
      </c>
      <c r="N26" s="105">
        <f>VLOOKUP($A$4&amp;4,'E Core Function Parameter'!$A:$E,5,0)</f>
        <v>0</v>
      </c>
      <c r="O26" s="105"/>
      <c r="P26" s="82" t="e">
        <f>VLOOKUP($A$4&amp;$D$4&amp;$N26,'E Core AL'!$B:$H,7,0)</f>
        <v>#N/A</v>
      </c>
      <c r="Q26" s="82" t="e">
        <f>VLOOKUP($A$4&amp;$D$4&amp;$N26,'E Core AL'!$B:$I,8,0)</f>
        <v>#N/A</v>
      </c>
      <c r="R26" s="82" t="e">
        <f>VLOOKUP($A$4&amp;$D$4&amp;$N26,'E Core AL'!$B:$J,9,0)</f>
        <v>#N/A</v>
      </c>
      <c r="S26" s="82" t="e">
        <f>VLOOKUP($A$4&amp;$D$4&amp;$N26,'E Core AL'!$B:$K,10,0)</f>
        <v>#N/A</v>
      </c>
      <c r="T26" s="51"/>
      <c r="U26" s="38"/>
      <c r="V26" s="67"/>
      <c r="W26" s="67"/>
    </row>
    <row r="27" spans="1:23" ht="27.75" customHeight="1" hidden="1">
      <c r="A27" s="49">
        <f>VLOOKUP($A$4&amp;5,'E Core Function Parameter'!$A:$E,5,0)</f>
        <v>0</v>
      </c>
      <c r="B27" s="50" t="e">
        <f>VLOOKUP($A$4&amp;$A27,'E Core Function Parameter'!$B:$F,5,0)</f>
        <v>#N/A</v>
      </c>
      <c r="C27" s="50" t="e">
        <f>VLOOKUP($A$4&amp;$A27,'E Core Function Parameter'!$B:$G,6,0)</f>
        <v>#N/A</v>
      </c>
      <c r="D27" s="50" t="e">
        <f>VLOOKUP($A$4&amp;$A27,'E Core Function Parameter'!$B:$H,7,0)</f>
        <v>#N/A</v>
      </c>
      <c r="E27" s="52"/>
      <c r="F27" s="53">
        <f>VLOOKUP($A$4&amp;5,'E Core Function Parameter'!$A:$E,5,0)</f>
        <v>0</v>
      </c>
      <c r="G27" s="341" t="e">
        <f>VLOOKUP($A$4&amp;$F27,'E Core Function Parameter'!$B:$O,14,0)</f>
        <v>#N/A</v>
      </c>
      <c r="H27" s="341"/>
      <c r="I27" s="341" t="e">
        <f>VLOOKUP($A$4&amp;$F27,'E Core Function Parameter'!$B:$P,15,0)</f>
        <v>#N/A</v>
      </c>
      <c r="J27" s="341"/>
      <c r="K27" s="341" t="e">
        <f>VLOOKUP($A$4&amp;$F27,'E Core Function Parameter'!$B:$Q,16,0)</f>
        <v>#N/A</v>
      </c>
      <c r="L27" s="341"/>
      <c r="M27" s="168"/>
      <c r="N27" s="105">
        <f>VLOOKUP($A$4&amp;5,'E Core Function Parameter'!$A:$E,5,0)</f>
        <v>0</v>
      </c>
      <c r="O27" s="105"/>
      <c r="P27" s="82" t="e">
        <f>VLOOKUP($A$4&amp;$D$4&amp;$N27,'E Core AL'!$B:$H,7,0)</f>
        <v>#N/A</v>
      </c>
      <c r="Q27" s="51"/>
      <c r="R27" s="51"/>
      <c r="S27" s="51"/>
      <c r="T27" s="51"/>
      <c r="U27" s="38"/>
      <c r="V27" s="67"/>
      <c r="W27" s="67"/>
    </row>
    <row r="28" spans="1:23" ht="27.75" customHeight="1" hidden="1">
      <c r="A28" s="49">
        <f>VLOOKUP($A$4&amp;6,'E Core Function Parameter'!$A:$E,5,0)</f>
        <v>0</v>
      </c>
      <c r="B28" s="50" t="e">
        <f>VLOOKUP($A$4&amp;$A28,'E Core Function Parameter'!$B:$F,5,0)</f>
        <v>#N/A</v>
      </c>
      <c r="C28" s="50" t="e">
        <f>VLOOKUP($A$4&amp;$A28,'E Core Function Parameter'!$B:$G,6,0)</f>
        <v>#N/A</v>
      </c>
      <c r="D28" s="50" t="e">
        <f>VLOOKUP($A$4&amp;$A28,'E Core Function Parameter'!$B:$H,7,0)</f>
        <v>#N/A</v>
      </c>
      <c r="E28" s="52"/>
      <c r="F28" s="53">
        <f>VLOOKUP($A$4&amp;6,'E Core Function Parameter'!$A:$E,5,0)</f>
        <v>0</v>
      </c>
      <c r="G28" s="341" t="e">
        <f>VLOOKUP($A$4&amp;$F28,'E Core Function Parameter'!$B:$O,14,0)</f>
        <v>#N/A</v>
      </c>
      <c r="H28" s="341"/>
      <c r="I28" s="341" t="e">
        <f>VLOOKUP($A$4&amp;$F28,'E Core Function Parameter'!$B:$P,15,0)</f>
        <v>#N/A</v>
      </c>
      <c r="J28" s="341"/>
      <c r="K28" s="341" t="e">
        <f>VLOOKUP($A$4&amp;$F28,'E Core Function Parameter'!$B:$Q,16,0)</f>
        <v>#N/A</v>
      </c>
      <c r="L28" s="341"/>
      <c r="M28" s="168"/>
      <c r="N28" s="105">
        <f>VLOOKUP($A$4&amp;6,'E Core Function Parameter'!$A:$E,5,0)</f>
        <v>0</v>
      </c>
      <c r="O28" s="105"/>
      <c r="P28" s="82" t="e">
        <f>VLOOKUP($A$4&amp;$D$4&amp;$N28,'E Core AL'!$B:$H,7,0)</f>
        <v>#N/A</v>
      </c>
      <c r="Q28" s="51"/>
      <c r="R28" s="51"/>
      <c r="S28" s="51"/>
      <c r="T28" s="51"/>
      <c r="U28" s="38"/>
      <c r="V28" s="67"/>
      <c r="W28" s="67"/>
    </row>
    <row r="29" spans="1:23" ht="27.75" customHeight="1" hidden="1">
      <c r="A29" s="49">
        <f>VLOOKUP($A$4&amp;7,'E Core Function Parameter'!$A:$E,5,0)</f>
        <v>0</v>
      </c>
      <c r="B29" s="50" t="e">
        <f>VLOOKUP($A$4&amp;$A29,'E Core Function Parameter'!$B:$F,5,0)</f>
        <v>#N/A</v>
      </c>
      <c r="C29" s="50" t="e">
        <f>VLOOKUP($A$4&amp;$A29,'E Core Function Parameter'!$B:$G,6,0)</f>
        <v>#N/A</v>
      </c>
      <c r="D29" s="50" t="e">
        <f>VLOOKUP($A$4&amp;$A29,'E Core Function Parameter'!$B:$H,7,0)</f>
        <v>#N/A</v>
      </c>
      <c r="E29" s="52"/>
      <c r="F29" s="53">
        <f>VLOOKUP($A$4&amp;7,'E Core Function Parameter'!$A:$E,5,0)</f>
        <v>0</v>
      </c>
      <c r="G29" s="341" t="e">
        <f>VLOOKUP($A$4&amp;$F29,'E Core Function Parameter'!$B:$O,14,0)</f>
        <v>#N/A</v>
      </c>
      <c r="H29" s="341"/>
      <c r="I29" s="341" t="e">
        <f>VLOOKUP($A$4&amp;$F29,'E Core Function Parameter'!$B:$P,15,0)</f>
        <v>#N/A</v>
      </c>
      <c r="J29" s="341"/>
      <c r="K29" s="341" t="e">
        <f>VLOOKUP($A$4&amp;$F29,'E Core Function Parameter'!$B:$Q,16,0)</f>
        <v>#N/A</v>
      </c>
      <c r="L29" s="341"/>
      <c r="M29" s="168"/>
      <c r="N29" s="105">
        <f>VLOOKUP($A$4&amp;7,'E Core Function Parameter'!$A:$E,5,0)</f>
        <v>0</v>
      </c>
      <c r="O29" s="105"/>
      <c r="P29" s="82" t="e">
        <f>VLOOKUP($A$4&amp;$D$4&amp;$N29,'E Core AL'!$B:$H,7,0)</f>
        <v>#N/A</v>
      </c>
      <c r="Q29" s="51"/>
      <c r="R29" s="51"/>
      <c r="S29" s="51"/>
      <c r="T29" s="51"/>
      <c r="U29" s="38"/>
      <c r="V29" s="67"/>
      <c r="W29" s="67"/>
    </row>
    <row r="30" spans="1:20" ht="24" customHeight="1" thickBot="1">
      <c r="A30" s="129" t="s">
        <v>38</v>
      </c>
      <c r="L30" s="129" t="s">
        <v>23</v>
      </c>
      <c r="M30" s="227"/>
      <c r="N30" s="228"/>
      <c r="O30" s="106"/>
      <c r="P30" s="107"/>
      <c r="Q30" s="106"/>
      <c r="R30" s="106"/>
      <c r="S30" s="106"/>
      <c r="T30" s="106"/>
    </row>
    <row r="31" spans="1:20" ht="18" customHeight="1">
      <c r="A31" s="388" t="s">
        <v>296</v>
      </c>
      <c r="B31" s="376" t="s">
        <v>207</v>
      </c>
      <c r="C31" s="377"/>
      <c r="D31" s="380" t="str">
        <f>L33</f>
        <v>026</v>
      </c>
      <c r="E31" s="381"/>
      <c r="F31" s="337" t="str">
        <f>L34</f>
        <v>040</v>
      </c>
      <c r="G31" s="338"/>
      <c r="H31" s="202" t="str">
        <f>L35</f>
        <v>060</v>
      </c>
      <c r="I31" s="203" t="e">
        <f>L36</f>
        <v>#N/A</v>
      </c>
      <c r="J31" s="233">
        <f>$L37</f>
        <v>0</v>
      </c>
      <c r="K31" s="54"/>
      <c r="L31" s="457" t="s">
        <v>207</v>
      </c>
      <c r="M31" s="361" t="s">
        <v>34</v>
      </c>
      <c r="N31" s="361" t="s">
        <v>297</v>
      </c>
      <c r="O31" s="456" t="s">
        <v>56</v>
      </c>
      <c r="P31" s="456"/>
      <c r="Q31" s="485" t="s">
        <v>58</v>
      </c>
      <c r="R31" s="485"/>
      <c r="S31" s="456" t="s">
        <v>53</v>
      </c>
      <c r="T31" s="484"/>
    </row>
    <row r="32" spans="1:20" ht="17.25" customHeight="1" thickBot="1">
      <c r="A32" s="389"/>
      <c r="B32" s="378" t="s">
        <v>112</v>
      </c>
      <c r="C32" s="379"/>
      <c r="D32" s="382">
        <f>P23*D5</f>
        <v>56</v>
      </c>
      <c r="E32" s="383"/>
      <c r="F32" s="339">
        <f>P24*D5</f>
        <v>76</v>
      </c>
      <c r="G32" s="340"/>
      <c r="H32" s="204">
        <f>P25*D5</f>
        <v>105</v>
      </c>
      <c r="I32" s="205" t="e">
        <f>P26</f>
        <v>#N/A</v>
      </c>
      <c r="J32" s="234"/>
      <c r="K32" s="88"/>
      <c r="L32" s="458"/>
      <c r="M32" s="362"/>
      <c r="N32" s="362"/>
      <c r="O32" s="87" t="s">
        <v>57</v>
      </c>
      <c r="P32" s="87" t="s">
        <v>59</v>
      </c>
      <c r="Q32" s="80" t="s">
        <v>54</v>
      </c>
      <c r="R32" s="80" t="s">
        <v>55</v>
      </c>
      <c r="S32" s="80" t="s">
        <v>54</v>
      </c>
      <c r="T32" s="90" t="s">
        <v>55</v>
      </c>
    </row>
    <row r="33" spans="1:20" ht="18" customHeight="1" thickBot="1" thickTop="1">
      <c r="A33" s="309">
        <v>0</v>
      </c>
      <c r="B33" s="330">
        <f aca="true" t="shared" si="2" ref="B33:B38">0.4*PI()*$E$10*$A33/$S$2</f>
        <v>0</v>
      </c>
      <c r="C33" s="331"/>
      <c r="D33" s="430">
        <f>P23*E10*E10/1000*D5</f>
        <v>367.416</v>
      </c>
      <c r="E33" s="431"/>
      <c r="F33" s="352">
        <f>P24*E10*E10/1000*D5</f>
        <v>498.636</v>
      </c>
      <c r="G33" s="353"/>
      <c r="H33" s="297">
        <f>P25*E10*E10/1000*D5</f>
        <v>688.905</v>
      </c>
      <c r="I33" s="298" t="e">
        <f>P26*E10*E10/1000*D5</f>
        <v>#N/A</v>
      </c>
      <c r="J33" s="253" t="e">
        <f>P27*E10*E10/1000*D5</f>
        <v>#N/A</v>
      </c>
      <c r="K33" s="86"/>
      <c r="L33" s="231" t="str">
        <f>F23</f>
        <v>026</v>
      </c>
      <c r="M33" s="180">
        <f>$J$14*$J$15/N33</f>
        <v>2.6647040991254953</v>
      </c>
      <c r="N33" s="79">
        <f>D37</f>
        <v>337.7485703929989</v>
      </c>
      <c r="O33" s="79">
        <f>M33*N33*100/(2*$E$10*$S$3)</f>
        <v>434.02777777777777</v>
      </c>
      <c r="P33" s="130">
        <f>M33*N33*100/($E$10*$S$3)</f>
        <v>868.0555555555555</v>
      </c>
      <c r="Q33" s="141">
        <f>(O33*0.001)^$G23*(I23*$J$13+K23*$J$13^M23)</f>
        <v>82.12089498206065</v>
      </c>
      <c r="R33" s="142">
        <f>(P33*0.001)^$G23*(I23*$J$13+K23*$J$13^M23)</f>
        <v>368.540010961806</v>
      </c>
      <c r="S33" s="160">
        <f aca="true" t="shared" si="3" ref="S33:T37">Q33*$S$5*0.001</f>
        <v>1.0343290964780505</v>
      </c>
      <c r="T33" s="158">
        <f t="shared" si="3"/>
        <v>4.641835146066139</v>
      </c>
    </row>
    <row r="34" spans="1:20" ht="18" customHeight="1" thickTop="1">
      <c r="A34" s="309">
        <f>A36/3</f>
        <v>3.3333333333333335</v>
      </c>
      <c r="B34" s="330">
        <f t="shared" si="2"/>
        <v>34.480894978424566</v>
      </c>
      <c r="C34" s="330"/>
      <c r="D34" s="448">
        <f>0.4*PI()*$E$10^2*$S$3*0.01*(1/($Q$23+$R$23*B34^($S$23-1)))/$S$2</f>
        <v>358.66626940417694</v>
      </c>
      <c r="E34" s="448"/>
      <c r="F34" s="348">
        <f>0.4*PI()*$E$10^2*$S$3*0.01*(1/($Q$24+$R$24*B34^($S$24-1)))/$S$2</f>
        <v>481.103829111221</v>
      </c>
      <c r="G34" s="349"/>
      <c r="H34" s="163">
        <f>0.4*PI()*$E$10^2*$S$3*0.01*(1/($Q$25+$R$25*B34^($S$25-1)))/$S$2</f>
        <v>652.9465301312947</v>
      </c>
      <c r="I34" s="175" t="e">
        <f>0.4*PI()*$E$10^2*$S$3*0.01*(1/($Q$26+$R$26*B34^($S$26-1)))/$S$2</f>
        <v>#N/A</v>
      </c>
      <c r="J34" s="235" t="e">
        <f>0.4*PI()*$E$10^2*$S$3*0.01*(1/($B$27+$C$27*B34^($D$27-1)))/$S$2</f>
        <v>#N/A</v>
      </c>
      <c r="K34" s="86"/>
      <c r="L34" s="231" t="str">
        <f>F24</f>
        <v>040</v>
      </c>
      <c r="M34" s="180">
        <f>$J$14*$J$15/N34</f>
        <v>2.108612678190081</v>
      </c>
      <c r="N34" s="79">
        <f>F37</f>
        <v>426.8209184687779</v>
      </c>
      <c r="O34" s="79">
        <f>M34*N34*100/(2*$E$10*$S$3)</f>
        <v>434.02777777777777</v>
      </c>
      <c r="P34" s="130">
        <f>M34*N34*100/($E$10*$S$3)</f>
        <v>868.0555555555555</v>
      </c>
      <c r="Q34" s="143">
        <f>(O34*0.001)^$G24*(I24*$J$13+K24*$J$13^M24)</f>
        <v>78.62634390716867</v>
      </c>
      <c r="R34" s="144">
        <f>(P34*0.001)^$G24*(I24*$J$13+K24*$J$13^M24)</f>
        <v>350.4198926740185</v>
      </c>
      <c r="S34" s="161">
        <f t="shared" si="3"/>
        <v>0.9903145267795709</v>
      </c>
      <c r="T34" s="159">
        <f t="shared" si="3"/>
        <v>4.413608632207798</v>
      </c>
    </row>
    <row r="35" spans="1:20" ht="18" customHeight="1">
      <c r="A35" s="309">
        <f>A36*2/3</f>
        <v>6.666666666666667</v>
      </c>
      <c r="B35" s="330">
        <f t="shared" si="2"/>
        <v>68.96178995684913</v>
      </c>
      <c r="C35" s="330"/>
      <c r="D35" s="448">
        <f>0.4*PI()*$E$10^2*$S$3*0.01*(1/($Q$23+$R$23*B35^($S$23-1)))/$S$2</f>
        <v>350.19959609763504</v>
      </c>
      <c r="E35" s="448"/>
      <c r="F35" s="346">
        <f>0.4*PI()*$E$10^2*$S$3*0.01*(1/($Q$24+$R$24*B35^($S$24-1)))/$S$2</f>
        <v>459.3855043279933</v>
      </c>
      <c r="G35" s="347"/>
      <c r="H35" s="163">
        <f>0.4*PI()*$E$10^2*$S$3*0.01*(1/($Q$25+$R$25*B35^($S$25-1)))/$S$2</f>
        <v>586.0556285085639</v>
      </c>
      <c r="I35" s="175" t="e">
        <f>0.4*PI()*$E$10^2*$S$3*0.01*(1/($Q$26+$R$26*B35^($S$26-1)))/$S$2</f>
        <v>#N/A</v>
      </c>
      <c r="J35" s="236" t="e">
        <f>0.4*PI()*$E$10^2*$S$3*0.01*(1/($B$27+$C$27*B35^($D$27-1)))/$S$2</f>
        <v>#N/A</v>
      </c>
      <c r="K35" s="86"/>
      <c r="L35" s="231" t="str">
        <f>F25</f>
        <v>060</v>
      </c>
      <c r="M35" s="180">
        <f>$J$14*$J$15/N35</f>
        <v>1.7977769372307746</v>
      </c>
      <c r="N35" s="79">
        <f>H37</f>
        <v>500.61828103453416</v>
      </c>
      <c r="O35" s="79">
        <f>M35*N35*100/(2*$E$10*$S$3)</f>
        <v>434.02777777777777</v>
      </c>
      <c r="P35" s="130">
        <f>M35*N35*100/($E$10*$S$3)</f>
        <v>868.0555555555555</v>
      </c>
      <c r="Q35" s="143">
        <f>(O35*0.001)^$G25*(I25*$J$13+K25*$J$13^M25)</f>
        <v>74.92267103536373</v>
      </c>
      <c r="R35" s="144">
        <f>(P35*0.001)^$G25*(I25*$J$13+K25*$J$13^M25)</f>
        <v>331.37717596972936</v>
      </c>
      <c r="S35" s="161">
        <f t="shared" si="3"/>
        <v>0.9436660262246134</v>
      </c>
      <c r="T35" s="159">
        <f t="shared" si="3"/>
        <v>4.173761806773935</v>
      </c>
    </row>
    <row r="36" spans="1:20" ht="18" customHeight="1" thickBot="1">
      <c r="A36" s="327">
        <f>J11</f>
        <v>10</v>
      </c>
      <c r="B36" s="330">
        <f t="shared" si="2"/>
        <v>103.44268493527369</v>
      </c>
      <c r="C36" s="330"/>
      <c r="D36" s="454">
        <f>0.4*PI()*$E$10^2*$S$3*0.01*(1/($Q$23+$R$23*B36^($S$23-1)))/$S$2</f>
        <v>337.7485703929989</v>
      </c>
      <c r="E36" s="454"/>
      <c r="F36" s="350">
        <f>0.4*PI()*$E$10^2*$S$3*0.01*(1/($Q$24+$R$24*B36^($S$24-1)))/$S$2</f>
        <v>426.8209184687779</v>
      </c>
      <c r="G36" s="351"/>
      <c r="H36" s="328">
        <f>0.4*PI()*$E$10^2*$S$3*0.01*(1/($Q$25+$R$25*B36^($S$25-1)))/$S$2</f>
        <v>500.61828103453416</v>
      </c>
      <c r="I36" s="176" t="e">
        <f>0.4*PI()*$E$10^2*$S$3*0.01*(1/($Q$26+$R$26*B36^($S$26-1)))/$S$2</f>
        <v>#N/A</v>
      </c>
      <c r="J36" s="237" t="e">
        <f>0.4*PI()*$E$10^2*$S$3*0.01*(1/($B$27+$C$27*B36^($D$27-1)))/$S$2</f>
        <v>#N/A</v>
      </c>
      <c r="K36" s="86"/>
      <c r="L36" s="231" t="e">
        <f>F26</f>
        <v>#N/A</v>
      </c>
      <c r="M36" s="180" t="e">
        <f>$J$14*$J$15/N36</f>
        <v>#N/A</v>
      </c>
      <c r="N36" s="79" t="e">
        <f>I37</f>
        <v>#N/A</v>
      </c>
      <c r="O36" s="79" t="e">
        <f>M36*N36*100/(2*$E$10*$S$3)</f>
        <v>#N/A</v>
      </c>
      <c r="P36" s="130" t="e">
        <f>M36*N36*100/($E$10*$S$3)</f>
        <v>#N/A</v>
      </c>
      <c r="Q36" s="143" t="e">
        <f>(O36*0.001)^$G26*(I26*$J$13+K26*$J$13^M26)</f>
        <v>#N/A</v>
      </c>
      <c r="R36" s="144" t="e">
        <f>(P36*0.001)^$G26*(I26*$J$13+K26*$J$13^M26)</f>
        <v>#N/A</v>
      </c>
      <c r="S36" s="161" t="e">
        <f t="shared" si="3"/>
        <v>#N/A</v>
      </c>
      <c r="T36" s="159" t="e">
        <f t="shared" si="3"/>
        <v>#N/A</v>
      </c>
    </row>
    <row r="37" spans="1:20" ht="18" customHeight="1" thickBot="1" thickTop="1">
      <c r="A37" s="310">
        <f>J12</f>
        <v>10</v>
      </c>
      <c r="B37" s="408">
        <f t="shared" si="2"/>
        <v>103.44268493527369</v>
      </c>
      <c r="C37" s="409"/>
      <c r="D37" s="430">
        <f>0.4*PI()*$E$10^2*$S$3*0.01*(1/($Q$23+$R$23*B37^($S$23-1)))/$S$2</f>
        <v>337.7485703929989</v>
      </c>
      <c r="E37" s="431"/>
      <c r="F37" s="352">
        <f>0.4*PI()*$E$10^2*$S$3*0.01*(1/($Q$24+$R$24*B37^($S$24-1)))/$S$2</f>
        <v>426.8209184687779</v>
      </c>
      <c r="G37" s="353"/>
      <c r="H37" s="297">
        <f>0.4*PI()*$E$10^2*$S$3*0.01*(1/($Q$25+$R$25*B37^($S$25-1)))/$S$2</f>
        <v>500.61828103453416</v>
      </c>
      <c r="I37" s="298" t="e">
        <f>0.4*PI()*$E$10^2*$S$3*0.01*(1/($Q$26+$R$26*B37^($S$26-1)))/$S$2</f>
        <v>#N/A</v>
      </c>
      <c r="J37" s="253" t="e">
        <f>0.4*PI()*$E$10^2*$S$3*0.01*(1/($B$27+$C$27*B37^($D$27-1)))/$S$2</f>
        <v>#N/A</v>
      </c>
      <c r="K37" s="86"/>
      <c r="L37" s="232">
        <f>F27</f>
        <v>0</v>
      </c>
      <c r="M37" s="179" t="e">
        <f>$J$15*$M$14/N37</f>
        <v>#N/A</v>
      </c>
      <c r="N37" s="181" t="e">
        <f>J37</f>
        <v>#N/A</v>
      </c>
      <c r="O37" s="89" t="e">
        <f>M37*N37*100/(2*$E$10*$S$3)</f>
        <v>#N/A</v>
      </c>
      <c r="P37" s="131" t="e">
        <f>M37*N37*100/($E$10*$S$3)</f>
        <v>#N/A</v>
      </c>
      <c r="Q37" s="145" t="e">
        <f>$G27*(O37*0.001)^$I27*$J$13^$K27</f>
        <v>#N/A</v>
      </c>
      <c r="R37" s="146" t="e">
        <f>$G27*(P37*0.001)^$I27*$J$13^$K27</f>
        <v>#N/A</v>
      </c>
      <c r="S37" s="223" t="e">
        <f t="shared" si="3"/>
        <v>#N/A</v>
      </c>
      <c r="T37" s="224" t="e">
        <f t="shared" si="3"/>
        <v>#N/A</v>
      </c>
    </row>
    <row r="38" spans="1:20" ht="18" customHeight="1" thickBot="1" thickTop="1">
      <c r="A38" s="311">
        <f>A37*1.2</f>
        <v>12</v>
      </c>
      <c r="B38" s="455">
        <f t="shared" si="2"/>
        <v>124.13122192232842</v>
      </c>
      <c r="C38" s="455"/>
      <c r="D38" s="460">
        <f>0.4*PI()*$E$10^2*$S$3*0.01*(1/($Q$23+$R$23*B38^($S$23-1)))/$S$2</f>
        <v>328.8125778201514</v>
      </c>
      <c r="E38" s="460"/>
      <c r="F38" s="436">
        <f>0.4*PI()*$E$10^2*$S$3*0.01*(1/($Q$24+$R$24*B38^($S$24-1)))/$S$2</f>
        <v>403.9675229819358</v>
      </c>
      <c r="G38" s="437"/>
      <c r="H38" s="245">
        <f>0.4*PI()*$E$10^2*$S$3*0.01*(1/($Q$25+$R$25*B38^($S$25-1)))/$S$2</f>
        <v>448.81108921664185</v>
      </c>
      <c r="I38" s="140" t="e">
        <f>0.4*PI()*$E$10^2*$S$3*0.01*(1/($Q$26+$R$26*B38^($S$26-1)))/$S$2</f>
        <v>#N/A</v>
      </c>
      <c r="J38" s="238" t="e">
        <f>0.4*PI()*$E$10^2*$S$3*0.01*(1/($B$27+$C$27*B38^($D$27-1)))/$S$2</f>
        <v>#N/A</v>
      </c>
      <c r="K38" s="86"/>
      <c r="L38" s="85"/>
      <c r="M38" s="226"/>
      <c r="N38" s="220"/>
      <c r="O38" s="220"/>
      <c r="P38" s="220"/>
      <c r="Q38" s="221"/>
      <c r="R38" s="221"/>
      <c r="S38" s="222"/>
      <c r="T38" s="222"/>
    </row>
    <row r="39" spans="1:20" ht="18" customHeight="1" thickBot="1">
      <c r="A39" s="452" t="s">
        <v>43</v>
      </c>
      <c r="B39" s="453"/>
      <c r="C39" s="453"/>
      <c r="D39" s="435">
        <f>D37/D33</f>
        <v>0.9192538441249126</v>
      </c>
      <c r="E39" s="435"/>
      <c r="F39" s="432">
        <f>F37/F33</f>
        <v>0.8559769420354284</v>
      </c>
      <c r="G39" s="433"/>
      <c r="H39" s="246">
        <f>H37/H33</f>
        <v>0.7266869612421657</v>
      </c>
      <c r="I39" s="243" t="e">
        <f>I37/I33</f>
        <v>#N/A</v>
      </c>
      <c r="J39" s="244" t="e">
        <f>J37/J33</f>
        <v>#N/A</v>
      </c>
      <c r="K39" s="55"/>
      <c r="L39" s="85"/>
      <c r="M39" s="226"/>
      <c r="N39" s="220"/>
      <c r="O39" s="220"/>
      <c r="P39" s="220"/>
      <c r="Q39" s="221"/>
      <c r="R39" s="221"/>
      <c r="S39" s="222"/>
      <c r="T39" s="222"/>
    </row>
    <row r="40" spans="1:22" ht="15.75" thickBot="1">
      <c r="A40" s="410"/>
      <c r="B40" s="410"/>
      <c r="C40" s="410"/>
      <c r="D40" s="434"/>
      <c r="E40" s="434"/>
      <c r="F40" s="251"/>
      <c r="G40" s="251"/>
      <c r="H40" s="162"/>
      <c r="I40" s="162"/>
      <c r="J40" s="56"/>
      <c r="K40" s="55"/>
      <c r="L40" s="57"/>
      <c r="M40" s="41"/>
      <c r="N40" s="35"/>
      <c r="O40" s="58"/>
      <c r="P40" s="35"/>
      <c r="Q40" s="35"/>
      <c r="R40" s="59"/>
      <c r="S40" s="85"/>
      <c r="T40" s="99"/>
      <c r="U40" s="35"/>
      <c r="V40" s="60"/>
    </row>
    <row r="41" spans="1:24" ht="16.5" thickBot="1" thickTop="1">
      <c r="A41" s="406"/>
      <c r="B41" s="407"/>
      <c r="C41" s="407"/>
      <c r="D41" s="450" t="s">
        <v>3</v>
      </c>
      <c r="E41" s="451"/>
      <c r="F41" s="451"/>
      <c r="G41" s="438" t="s">
        <v>105</v>
      </c>
      <c r="H41" s="439"/>
      <c r="I41" s="62"/>
      <c r="J41" s="62"/>
      <c r="K41" s="55"/>
      <c r="L41" s="55"/>
      <c r="M41" s="55"/>
      <c r="N41" s="57"/>
      <c r="O41" s="41"/>
      <c r="P41" s="35"/>
      <c r="Q41" s="58"/>
      <c r="R41" s="35"/>
      <c r="S41" s="35"/>
      <c r="T41" s="59"/>
      <c r="U41" s="85"/>
      <c r="V41" s="99"/>
      <c r="W41" s="99"/>
      <c r="X41" s="99"/>
    </row>
    <row r="42" spans="1:24" ht="16.5" thickBot="1" thickTop="1">
      <c r="A42" s="406"/>
      <c r="B42" s="407"/>
      <c r="C42" s="407"/>
      <c r="D42" s="425" t="str">
        <f>A4</f>
        <v>EK(MegaFlux)</v>
      </c>
      <c r="E42" s="426"/>
      <c r="F42" s="426"/>
      <c r="G42" s="444" t="str">
        <f>D4</f>
        <v>4321A</v>
      </c>
      <c r="H42" s="445"/>
      <c r="I42" s="34"/>
      <c r="J42" s="36" t="s">
        <v>15</v>
      </c>
      <c r="K42" s="239">
        <f>E10</f>
        <v>81</v>
      </c>
      <c r="L42" s="240"/>
      <c r="M42" s="55"/>
      <c r="N42" s="63"/>
      <c r="O42" s="63"/>
      <c r="P42" s="35"/>
      <c r="Q42" s="58"/>
      <c r="R42" s="35"/>
      <c r="S42" s="35"/>
      <c r="T42" s="59"/>
      <c r="U42" s="96"/>
      <c r="V42" s="97"/>
      <c r="W42" s="97"/>
      <c r="X42" s="98"/>
    </row>
    <row r="43" spans="1:24" ht="15.75" thickTop="1">
      <c r="A43" s="406"/>
      <c r="B43" s="407"/>
      <c r="C43" s="407"/>
      <c r="D43" s="442"/>
      <c r="E43" s="442"/>
      <c r="F43" s="442"/>
      <c r="G43" s="447"/>
      <c r="H43" s="447"/>
      <c r="I43" s="34"/>
      <c r="J43" s="35"/>
      <c r="K43" s="427"/>
      <c r="L43" s="427"/>
      <c r="M43" s="113"/>
      <c r="N43" s="114"/>
      <c r="O43" s="115"/>
      <c r="P43" s="116"/>
      <c r="Q43" s="117"/>
      <c r="R43" s="116"/>
      <c r="S43" s="116"/>
      <c r="T43" s="118"/>
      <c r="U43" s="119"/>
      <c r="V43" s="120"/>
      <c r="W43" s="120"/>
      <c r="X43" s="121"/>
    </row>
    <row r="44" spans="1:24" ht="15">
      <c r="A44" s="406"/>
      <c r="B44" s="407"/>
      <c r="C44" s="407"/>
      <c r="D44" s="459"/>
      <c r="E44" s="459"/>
      <c r="F44" s="61"/>
      <c r="G44" s="61"/>
      <c r="H44" s="62"/>
      <c r="I44" s="62"/>
      <c r="J44" s="62"/>
      <c r="K44" s="113"/>
      <c r="L44" s="113"/>
      <c r="M44" s="113"/>
      <c r="N44" s="122"/>
      <c r="O44" s="122"/>
      <c r="P44" s="122"/>
      <c r="Q44" s="122"/>
      <c r="R44" s="122"/>
      <c r="S44" s="122"/>
      <c r="T44" s="122"/>
      <c r="U44" s="119"/>
      <c r="V44" s="120"/>
      <c r="W44" s="120"/>
      <c r="X44" s="121"/>
    </row>
    <row r="45" spans="1:24" ht="15">
      <c r="A45" s="406"/>
      <c r="B45" s="407"/>
      <c r="C45" s="407"/>
      <c r="D45" s="428"/>
      <c r="E45" s="428"/>
      <c r="F45" s="61"/>
      <c r="G45" s="61"/>
      <c r="H45" s="34"/>
      <c r="I45" s="34"/>
      <c r="K45" s="113"/>
      <c r="L45" s="122"/>
      <c r="M45" s="113"/>
      <c r="N45" s="115"/>
      <c r="O45" s="115"/>
      <c r="P45" s="122"/>
      <c r="Q45" s="122"/>
      <c r="R45" s="122"/>
      <c r="S45" s="122"/>
      <c r="T45" s="122"/>
      <c r="U45" s="119"/>
      <c r="V45" s="120"/>
      <c r="W45" s="120"/>
      <c r="X45" s="121"/>
    </row>
    <row r="46" spans="1:24" ht="15">
      <c r="A46" s="406"/>
      <c r="B46" s="407"/>
      <c r="C46" s="407"/>
      <c r="D46" s="428"/>
      <c r="E46" s="428"/>
      <c r="F46" s="61"/>
      <c r="G46" s="61"/>
      <c r="H46" s="34"/>
      <c r="I46" s="34"/>
      <c r="J46" s="35"/>
      <c r="K46" s="113"/>
      <c r="L46" s="124"/>
      <c r="M46" s="113"/>
      <c r="N46" s="115"/>
      <c r="O46" s="115"/>
      <c r="P46" s="122"/>
      <c r="Q46" s="122"/>
      <c r="R46" s="122"/>
      <c r="S46" s="122"/>
      <c r="T46" s="122"/>
      <c r="U46" s="119"/>
      <c r="V46" s="120"/>
      <c r="W46" s="120"/>
      <c r="X46" s="121"/>
    </row>
    <row r="47" spans="1:24" ht="15">
      <c r="A47" s="406"/>
      <c r="B47" s="407"/>
      <c r="C47" s="407"/>
      <c r="D47" s="428"/>
      <c r="E47" s="428"/>
      <c r="F47" s="61"/>
      <c r="G47" s="61"/>
      <c r="H47" s="34"/>
      <c r="I47" s="34"/>
      <c r="J47" s="35"/>
      <c r="K47" s="113"/>
      <c r="L47" s="124"/>
      <c r="M47" s="113"/>
      <c r="N47" s="115"/>
      <c r="O47" s="115"/>
      <c r="P47" s="122"/>
      <c r="Q47" s="122"/>
      <c r="R47" s="122"/>
      <c r="S47" s="122"/>
      <c r="T47" s="122"/>
      <c r="U47" s="119"/>
      <c r="V47" s="120"/>
      <c r="W47" s="120"/>
      <c r="X47" s="121"/>
    </row>
    <row r="48" spans="1:24" ht="15">
      <c r="A48" s="406"/>
      <c r="B48" s="407">
        <v>29953</v>
      </c>
      <c r="C48" s="407"/>
      <c r="D48" s="55"/>
      <c r="E48" s="55"/>
      <c r="F48" s="61"/>
      <c r="G48" s="61"/>
      <c r="H48" s="34"/>
      <c r="I48" s="34"/>
      <c r="J48" s="35"/>
      <c r="K48" s="113"/>
      <c r="L48" s="124"/>
      <c r="M48" s="113"/>
      <c r="N48" s="115"/>
      <c r="O48" s="115"/>
      <c r="P48" s="122"/>
      <c r="Q48" s="122"/>
      <c r="R48" s="122"/>
      <c r="S48" s="122"/>
      <c r="T48" s="122"/>
      <c r="U48" s="119"/>
      <c r="V48" s="120"/>
      <c r="W48" s="120"/>
      <c r="X48" s="121"/>
    </row>
    <row r="49" spans="1:24" ht="13.5">
      <c r="A49" s="406"/>
      <c r="B49" s="407">
        <v>29954</v>
      </c>
      <c r="C49" s="407"/>
      <c r="D49" s="55"/>
      <c r="E49" s="55"/>
      <c r="F49" s="61"/>
      <c r="G49" s="61"/>
      <c r="H49" s="34"/>
      <c r="I49" s="34"/>
      <c r="J49" s="35"/>
      <c r="K49" s="113"/>
      <c r="L49" s="124"/>
      <c r="M49" s="113"/>
      <c r="N49" s="115"/>
      <c r="O49" s="115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1:24" ht="15">
      <c r="A50" s="406"/>
      <c r="B50" s="407">
        <v>29955</v>
      </c>
      <c r="C50" s="407"/>
      <c r="D50" s="440"/>
      <c r="E50" s="440"/>
      <c r="F50" s="440"/>
      <c r="G50" s="440"/>
      <c r="H50" s="440"/>
      <c r="I50" s="34"/>
      <c r="J50" s="35"/>
      <c r="K50" s="113"/>
      <c r="L50" s="124"/>
      <c r="M50" s="113"/>
      <c r="N50" s="115"/>
      <c r="O50" s="115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1:24" ht="15">
      <c r="A51" s="64"/>
      <c r="B51" s="61"/>
      <c r="C51" s="61"/>
      <c r="D51" s="442"/>
      <c r="E51" s="442"/>
      <c r="F51" s="442"/>
      <c r="G51" s="441"/>
      <c r="H51" s="441"/>
      <c r="I51" s="34"/>
      <c r="J51" s="35"/>
      <c r="K51" s="427"/>
      <c r="L51" s="427"/>
      <c r="M51" s="113"/>
      <c r="N51" s="115"/>
      <c r="O51" s="115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1:24" ht="15">
      <c r="A52" s="64"/>
      <c r="B52" s="446"/>
      <c r="C52" s="446"/>
      <c r="D52" s="449"/>
      <c r="E52" s="449"/>
      <c r="F52" s="250"/>
      <c r="G52" s="250"/>
      <c r="H52" s="68"/>
      <c r="I52" s="62"/>
      <c r="J52" s="62"/>
      <c r="K52" s="113"/>
      <c r="L52" s="113"/>
      <c r="M52" s="124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ht="13.5">
      <c r="A53" s="64"/>
      <c r="B53" s="446"/>
      <c r="C53" s="446"/>
      <c r="D53" s="410"/>
      <c r="E53" s="410"/>
      <c r="F53" s="55"/>
      <c r="G53" s="55"/>
      <c r="H53" s="62"/>
      <c r="I53" s="62"/>
      <c r="J53" s="62"/>
      <c r="K53" s="113"/>
      <c r="L53" s="113"/>
      <c r="M53" s="124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23"/>
    </row>
    <row r="54" spans="11:24" ht="13.5">
      <c r="K54" s="100"/>
      <c r="L54" s="100"/>
      <c r="M54" s="101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5"/>
    </row>
    <row r="55" spans="11:24" ht="13.5" customHeight="1">
      <c r="K55" s="100"/>
      <c r="L55" s="100"/>
      <c r="M55" s="101"/>
      <c r="N55" s="69" t="s">
        <v>60</v>
      </c>
      <c r="O55" s="69" t="s">
        <v>36</v>
      </c>
      <c r="P55" s="70" t="str">
        <f>N23</f>
        <v>026</v>
      </c>
      <c r="Q55" s="70" t="str">
        <f>N24</f>
        <v>040</v>
      </c>
      <c r="R55" s="70" t="str">
        <f>N25</f>
        <v>060</v>
      </c>
      <c r="S55" s="70">
        <f>N26</f>
        <v>0</v>
      </c>
      <c r="T55" s="70">
        <f>N27</f>
        <v>0</v>
      </c>
      <c r="U55" s="241"/>
      <c r="V55" s="241"/>
      <c r="W55" s="70"/>
      <c r="X55" s="126"/>
    </row>
    <row r="56" spans="11:24" ht="13.5">
      <c r="K56" s="100">
        <v>0</v>
      </c>
      <c r="L56" s="100"/>
      <c r="M56" s="101"/>
      <c r="N56" s="71">
        <f aca="true" t="shared" si="4" ref="N56:N87">$K$17*K56/50</f>
        <v>0</v>
      </c>
      <c r="O56" s="72">
        <f aca="true" t="shared" si="5" ref="O56:O87">0.4*PI()*$E$10*$N56/$S$2</f>
        <v>0</v>
      </c>
      <c r="P56" s="73">
        <f>0.4*PI()*$E$10^2*$S$3*0.01*(1/($Q$23+$R$23*O56^($S$23-1)))/$S$2</f>
        <v>361.9621185990272</v>
      </c>
      <c r="Q56" s="73">
        <f>0.4*PI()*$E$10^2*$S$3*0.01*(1/($Q$24+$R$24*O56^($S$24-1)))/$S$2</f>
        <v>488.60763435485995</v>
      </c>
      <c r="R56" s="73">
        <f>0.4*PI()*$E$10^2*$S$3*0.01*(1/($Q$25+$R$25*O56^($S$25-1)))/$S$2</f>
        <v>678.7935173474162</v>
      </c>
      <c r="S56" s="73" t="e">
        <f aca="true" t="shared" si="6" ref="S56:S87">0.4*PI()*$E$10^2*$S$3*0.01*(1/($B$26+$C$26*O56^($D$26-1)))/$S$2</f>
        <v>#N/A</v>
      </c>
      <c r="T56" s="73" t="e">
        <f aca="true" t="shared" si="7" ref="T56:T87">0.4*PI()*$E$10^2*$S$3*0.01*(1/($B$27+$C$27*O56^($D$27-1)))/$S$2</f>
        <v>#N/A</v>
      </c>
      <c r="U56" s="242"/>
      <c r="V56" s="242"/>
      <c r="W56" s="73"/>
      <c r="X56" s="127"/>
    </row>
    <row r="57" spans="11:24" ht="13.5">
      <c r="K57" s="100">
        <v>1</v>
      </c>
      <c r="L57" s="100"/>
      <c r="M57" s="101"/>
      <c r="N57" s="71">
        <f t="shared" si="4"/>
        <v>0.24</v>
      </c>
      <c r="O57" s="72">
        <f t="shared" si="5"/>
        <v>2.4826244384465683</v>
      </c>
      <c r="P57" s="73">
        <f aca="true" t="shared" si="8" ref="P57:P106">0.4*PI()*$E$10^2*$S$3*0.01*(1/($Q$23+$R$23*O57^($S$23-1)))/$S$2</f>
        <v>361.93784181710447</v>
      </c>
      <c r="Q57" s="73">
        <f aca="true" t="shared" si="9" ref="Q57:Q106">0.4*PI()*$E$10^2*$S$3*0.01*(1/($Q$24+$R$24*O57^($S$24-1)))/$S$2</f>
        <v>488.5709374660667</v>
      </c>
      <c r="R57" s="73">
        <f aca="true" t="shared" si="10" ref="R57:R106">0.4*PI()*$E$10^2*$S$3*0.01*(1/($Q$25+$R$25*O57^($S$25-1)))/$S$2</f>
        <v>678.6539173242751</v>
      </c>
      <c r="S57" s="73" t="e">
        <f t="shared" si="6"/>
        <v>#N/A</v>
      </c>
      <c r="T57" s="73" t="e">
        <f t="shared" si="7"/>
        <v>#N/A</v>
      </c>
      <c r="U57" s="242"/>
      <c r="V57" s="242"/>
      <c r="W57" s="73"/>
      <c r="X57" s="127"/>
    </row>
    <row r="58" spans="11:24" ht="13.5">
      <c r="K58" s="100">
        <v>2</v>
      </c>
      <c r="L58" s="100"/>
      <c r="M58" s="101"/>
      <c r="N58" s="71">
        <f t="shared" si="4"/>
        <v>0.48</v>
      </c>
      <c r="O58" s="72">
        <f t="shared" si="5"/>
        <v>4.965248876893137</v>
      </c>
      <c r="P58" s="73">
        <f t="shared" si="8"/>
        <v>361.87339854167783</v>
      </c>
      <c r="Q58" s="73">
        <f t="shared" si="9"/>
        <v>488.4580036616409</v>
      </c>
      <c r="R58" s="73">
        <f t="shared" si="10"/>
        <v>678.2358131638565</v>
      </c>
      <c r="S58" s="73" t="e">
        <f t="shared" si="6"/>
        <v>#N/A</v>
      </c>
      <c r="T58" s="73" t="e">
        <f t="shared" si="7"/>
        <v>#N/A</v>
      </c>
      <c r="U58" s="242"/>
      <c r="V58" s="242"/>
      <c r="W58" s="73"/>
      <c r="X58" s="127"/>
    </row>
    <row r="59" spans="11:24" ht="13.5">
      <c r="K59" s="100">
        <v>3</v>
      </c>
      <c r="L59" s="100"/>
      <c r="M59" s="101"/>
      <c r="N59" s="71">
        <f t="shared" si="4"/>
        <v>0.72</v>
      </c>
      <c r="O59" s="72">
        <f t="shared" si="5"/>
        <v>7.447873315339705</v>
      </c>
      <c r="P59" s="73">
        <f t="shared" si="8"/>
        <v>361.772805283632</v>
      </c>
      <c r="Q59" s="73">
        <f t="shared" si="9"/>
        <v>488.26725290009546</v>
      </c>
      <c r="R59" s="73">
        <f t="shared" si="10"/>
        <v>677.5404319306342</v>
      </c>
      <c r="S59" s="73" t="e">
        <f t="shared" si="6"/>
        <v>#N/A</v>
      </c>
      <c r="T59" s="73" t="e">
        <f t="shared" si="7"/>
        <v>#N/A</v>
      </c>
      <c r="U59" s="242"/>
      <c r="V59" s="242"/>
      <c r="W59" s="73"/>
      <c r="X59" s="127"/>
    </row>
    <row r="60" spans="11:24" ht="13.5">
      <c r="K60" s="100">
        <v>4</v>
      </c>
      <c r="L60" s="100"/>
      <c r="M60" s="101"/>
      <c r="N60" s="71">
        <f t="shared" si="4"/>
        <v>0.96</v>
      </c>
      <c r="O60" s="72">
        <f t="shared" si="5"/>
        <v>9.930497753786273</v>
      </c>
      <c r="P60" s="73">
        <f t="shared" si="8"/>
        <v>361.6380422822043</v>
      </c>
      <c r="Q60" s="73">
        <f t="shared" si="9"/>
        <v>487.997952458981</v>
      </c>
      <c r="R60" s="73">
        <f t="shared" si="10"/>
        <v>676.5695843027326</v>
      </c>
      <c r="S60" s="73" t="e">
        <f t="shared" si="6"/>
        <v>#N/A</v>
      </c>
      <c r="T60" s="73" t="e">
        <f t="shared" si="7"/>
        <v>#N/A</v>
      </c>
      <c r="U60" s="242"/>
      <c r="V60" s="242"/>
      <c r="W60" s="73"/>
      <c r="X60" s="127"/>
    </row>
    <row r="61" spans="11:24" ht="13.5">
      <c r="K61" s="100">
        <v>5</v>
      </c>
      <c r="L61" s="100"/>
      <c r="M61" s="101"/>
      <c r="N61" s="71">
        <f t="shared" si="4"/>
        <v>1.2</v>
      </c>
      <c r="O61" s="72">
        <f t="shared" si="5"/>
        <v>12.413122192232843</v>
      </c>
      <c r="P61" s="73">
        <f t="shared" si="8"/>
        <v>361.4704619591916</v>
      </c>
      <c r="Q61" s="73">
        <f t="shared" si="9"/>
        <v>487.6497176389521</v>
      </c>
      <c r="R61" s="73">
        <f t="shared" si="10"/>
        <v>675.3257147871125</v>
      </c>
      <c r="S61" s="73" t="e">
        <f t="shared" si="6"/>
        <v>#N/A</v>
      </c>
      <c r="T61" s="73" t="e">
        <f t="shared" si="7"/>
        <v>#N/A</v>
      </c>
      <c r="U61" s="242"/>
      <c r="V61" s="242"/>
      <c r="W61" s="73"/>
      <c r="X61" s="127"/>
    </row>
    <row r="62" spans="11:24" ht="13.5">
      <c r="K62" s="100">
        <v>6</v>
      </c>
      <c r="L62" s="100"/>
      <c r="M62" s="101"/>
      <c r="N62" s="71">
        <f t="shared" si="4"/>
        <v>1.44</v>
      </c>
      <c r="O62" s="72">
        <f t="shared" si="5"/>
        <v>14.89574663067941</v>
      </c>
      <c r="P62" s="73">
        <f t="shared" si="8"/>
        <v>361.27110514778155</v>
      </c>
      <c r="Q62" s="73">
        <f t="shared" si="9"/>
        <v>487.2223868753495</v>
      </c>
      <c r="R62" s="73">
        <f t="shared" si="10"/>
        <v>673.8119019954794</v>
      </c>
      <c r="S62" s="73" t="e">
        <f t="shared" si="6"/>
        <v>#N/A</v>
      </c>
      <c r="T62" s="73" t="e">
        <f t="shared" si="7"/>
        <v>#N/A</v>
      </c>
      <c r="U62" s="242"/>
      <c r="V62" s="242"/>
      <c r="W62" s="73"/>
      <c r="X62" s="127"/>
    </row>
    <row r="63" spans="11:24" ht="13.5">
      <c r="K63" s="100">
        <v>7</v>
      </c>
      <c r="L63" s="100"/>
      <c r="M63" s="101"/>
      <c r="N63" s="71">
        <f t="shared" si="4"/>
        <v>1.68</v>
      </c>
      <c r="O63" s="72">
        <f t="shared" si="5"/>
        <v>17.378371069125976</v>
      </c>
      <c r="P63" s="73">
        <f t="shared" si="8"/>
        <v>361.04082920497166</v>
      </c>
      <c r="Q63" s="73">
        <f t="shared" si="9"/>
        <v>486.71596822767896</v>
      </c>
      <c r="R63" s="73">
        <f t="shared" si="10"/>
        <v>672.0318465149693</v>
      </c>
      <c r="S63" s="73" t="e">
        <f t="shared" si="6"/>
        <v>#N/A</v>
      </c>
      <c r="T63" s="73" t="e">
        <f t="shared" si="7"/>
        <v>#N/A</v>
      </c>
      <c r="U63" s="242"/>
      <c r="V63" s="242"/>
      <c r="W63" s="73"/>
      <c r="X63" s="127"/>
    </row>
    <row r="64" spans="11:24" ht="13.5">
      <c r="K64" s="100">
        <v>8</v>
      </c>
      <c r="L64" s="100"/>
      <c r="M64" s="101"/>
      <c r="N64" s="71">
        <f t="shared" si="4"/>
        <v>1.92</v>
      </c>
      <c r="O64" s="72">
        <f t="shared" si="5"/>
        <v>19.860995507572547</v>
      </c>
      <c r="P64" s="73">
        <f t="shared" si="8"/>
        <v>360.7803726621706</v>
      </c>
      <c r="Q64" s="73">
        <f t="shared" si="9"/>
        <v>486.13061095282575</v>
      </c>
      <c r="R64" s="73">
        <f t="shared" si="10"/>
        <v>669.9898521720797</v>
      </c>
      <c r="S64" s="73" t="e">
        <f t="shared" si="6"/>
        <v>#N/A</v>
      </c>
      <c r="T64" s="73" t="e">
        <f t="shared" si="7"/>
        <v>#N/A</v>
      </c>
      <c r="U64" s="242"/>
      <c r="V64" s="242"/>
      <c r="W64" s="73"/>
      <c r="X64" s="127"/>
    </row>
    <row r="65" spans="11:24" ht="13.5">
      <c r="K65" s="100">
        <v>9</v>
      </c>
      <c r="L65" s="100"/>
      <c r="M65" s="101"/>
      <c r="N65" s="71">
        <f t="shared" si="4"/>
        <v>2.16</v>
      </c>
      <c r="O65" s="72">
        <f t="shared" si="5"/>
        <v>22.343619946019118</v>
      </c>
      <c r="P65" s="73">
        <f t="shared" si="8"/>
        <v>360.49039227743253</v>
      </c>
      <c r="Q65" s="73">
        <f t="shared" si="9"/>
        <v>485.46658823445796</v>
      </c>
      <c r="R65" s="73">
        <f t="shared" si="10"/>
        <v>667.6908025975156</v>
      </c>
      <c r="S65" s="73" t="e">
        <f t="shared" si="6"/>
        <v>#N/A</v>
      </c>
      <c r="T65" s="73" t="e">
        <f t="shared" si="7"/>
        <v>#N/A</v>
      </c>
      <c r="U65" s="242"/>
      <c r="V65" s="242"/>
      <c r="W65" s="73"/>
      <c r="X65" s="127"/>
    </row>
    <row r="66" spans="11:24" ht="13.5">
      <c r="K66" s="100">
        <v>10</v>
      </c>
      <c r="L66" s="100"/>
      <c r="M66" s="101"/>
      <c r="N66" s="71">
        <f t="shared" si="4"/>
        <v>2.4</v>
      </c>
      <c r="O66" s="72">
        <f t="shared" si="5"/>
        <v>24.826244384465685</v>
      </c>
      <c r="P66" s="73">
        <f t="shared" si="8"/>
        <v>360.17148614092395</v>
      </c>
      <c r="Q66" s="73">
        <f t="shared" si="9"/>
        <v>484.72428559795264</v>
      </c>
      <c r="R66" s="73">
        <f t="shared" si="10"/>
        <v>665.1401340162286</v>
      </c>
      <c r="S66" s="73" t="e">
        <f t="shared" si="6"/>
        <v>#N/A</v>
      </c>
      <c r="T66" s="73" t="e">
        <f t="shared" si="7"/>
        <v>#N/A</v>
      </c>
      <c r="U66" s="242"/>
      <c r="V66" s="242"/>
      <c r="W66" s="73"/>
      <c r="X66" s="127"/>
    </row>
    <row r="67" spans="11:24" ht="13.5">
      <c r="K67" s="100">
        <v>11</v>
      </c>
      <c r="L67" s="100"/>
      <c r="M67" s="101"/>
      <c r="N67" s="71">
        <f t="shared" si="4"/>
        <v>2.64</v>
      </c>
      <c r="O67" s="72">
        <f t="shared" si="5"/>
        <v>27.308868822912256</v>
      </c>
      <c r="P67" s="73">
        <f t="shared" si="8"/>
        <v>359.82420897809845</v>
      </c>
      <c r="Q67" s="73">
        <f t="shared" si="9"/>
        <v>483.9041924891974</v>
      </c>
      <c r="R67" s="73">
        <f t="shared" si="10"/>
        <v>662.3438048635642</v>
      </c>
      <c r="S67" s="73" t="e">
        <f t="shared" si="6"/>
        <v>#N/A</v>
      </c>
      <c r="T67" s="73" t="e">
        <f t="shared" si="7"/>
        <v>#N/A</v>
      </c>
      <c r="U67" s="242"/>
      <c r="V67" s="242"/>
      <c r="W67" s="73"/>
      <c r="X67" s="127"/>
    </row>
    <row r="68" spans="11:24" ht="13.5">
      <c r="K68" s="100">
        <v>12</v>
      </c>
      <c r="L68" s="100"/>
      <c r="M68" s="101"/>
      <c r="N68" s="71">
        <f t="shared" si="4"/>
        <v>2.88</v>
      </c>
      <c r="O68" s="72">
        <f t="shared" si="5"/>
        <v>29.79149326135882</v>
      </c>
      <c r="P68" s="73">
        <f t="shared" si="8"/>
        <v>359.4490827519824</v>
      </c>
      <c r="Q68" s="73">
        <f t="shared" si="9"/>
        <v>483.0068957213446</v>
      </c>
      <c r="R68" s="73">
        <f t="shared" si="10"/>
        <v>659.3082627065263</v>
      </c>
      <c r="S68" s="73" t="e">
        <f t="shared" si="6"/>
        <v>#N/A</v>
      </c>
      <c r="T68" s="73" t="e">
        <f t="shared" si="7"/>
        <v>#N/A</v>
      </c>
      <c r="U68" s="242"/>
      <c r="V68" s="242"/>
      <c r="W68" s="73"/>
      <c r="X68" s="127"/>
    </row>
    <row r="69" spans="11:24" ht="13.5">
      <c r="K69" s="100">
        <v>13</v>
      </c>
      <c r="L69" s="100"/>
      <c r="M69" s="101"/>
      <c r="N69" s="71">
        <f t="shared" si="4"/>
        <v>3.12</v>
      </c>
      <c r="O69" s="72">
        <f t="shared" si="5"/>
        <v>32.27411769980539</v>
      </c>
      <c r="P69" s="73">
        <f t="shared" si="8"/>
        <v>359.04660426768834</v>
      </c>
      <c r="Q69" s="73">
        <f t="shared" si="9"/>
        <v>482.033074068919</v>
      </c>
      <c r="R69" s="73">
        <f t="shared" si="10"/>
        <v>656.0404088993726</v>
      </c>
      <c r="S69" s="73" t="e">
        <f t="shared" si="6"/>
        <v>#N/A</v>
      </c>
      <c r="T69" s="73" t="e">
        <f t="shared" si="7"/>
        <v>#N/A</v>
      </c>
      <c r="U69" s="242"/>
      <c r="V69" s="242"/>
      <c r="W69" s="73"/>
      <c r="X69" s="127"/>
    </row>
    <row r="70" spans="11:24" ht="13.5">
      <c r="K70" s="100">
        <v>14</v>
      </c>
      <c r="L70" s="100"/>
      <c r="M70" s="101"/>
      <c r="N70" s="71">
        <f t="shared" si="4"/>
        <v>3.36</v>
      </c>
      <c r="O70" s="72">
        <f t="shared" si="5"/>
        <v>34.75674213825195</v>
      </c>
      <c r="P70" s="73">
        <f t="shared" si="8"/>
        <v>358.61725077723895</v>
      </c>
      <c r="Q70" s="73">
        <f t="shared" si="9"/>
        <v>480.9834935842707</v>
      </c>
      <c r="R70" s="73">
        <f t="shared" si="10"/>
        <v>652.5475613806326</v>
      </c>
      <c r="S70" s="73" t="e">
        <f t="shared" si="6"/>
        <v>#N/A</v>
      </c>
      <c r="T70" s="73" t="e">
        <f t="shared" si="7"/>
        <v>#N/A</v>
      </c>
      <c r="U70" s="242"/>
      <c r="V70" s="242"/>
      <c r="W70" s="73"/>
      <c r="X70" s="127"/>
    </row>
    <row r="71" spans="11:24" ht="13.5">
      <c r="K71" s="100">
        <v>15</v>
      </c>
      <c r="L71" s="100"/>
      <c r="M71" s="101"/>
      <c r="N71" s="71">
        <f t="shared" si="4"/>
        <v>3.6</v>
      </c>
      <c r="O71" s="72">
        <f t="shared" si="5"/>
        <v>37.23936657669853</v>
      </c>
      <c r="P71" s="73">
        <f t="shared" si="8"/>
        <v>358.1614842007498</v>
      </c>
      <c r="Q71" s="73">
        <f t="shared" si="9"/>
        <v>479.85900337433065</v>
      </c>
      <c r="R71" s="73">
        <f t="shared" si="10"/>
        <v>648.8374160066344</v>
      </c>
      <c r="S71" s="73" t="e">
        <f t="shared" si="6"/>
        <v>#N/A</v>
      </c>
      <c r="T71" s="73" t="e">
        <f t="shared" si="7"/>
        <v>#N/A</v>
      </c>
      <c r="U71" s="242"/>
      <c r="V71" s="242"/>
      <c r="W71" s="73"/>
      <c r="X71" s="127"/>
    </row>
    <row r="72" spans="11:24" ht="13.5">
      <c r="K72" s="100">
        <v>16</v>
      </c>
      <c r="L72" s="100"/>
      <c r="M72" s="101"/>
      <c r="N72" s="71">
        <f t="shared" si="4"/>
        <v>3.84</v>
      </c>
      <c r="O72" s="72">
        <f t="shared" si="5"/>
        <v>39.72199101514509</v>
      </c>
      <c r="P72" s="73">
        <f t="shared" si="8"/>
        <v>357.67975436070174</v>
      </c>
      <c r="Q72" s="73">
        <f t="shared" si="9"/>
        <v>478.6605316706986</v>
      </c>
      <c r="R72" s="73">
        <f t="shared" si="10"/>
        <v>644.9180068072145</v>
      </c>
      <c r="S72" s="73" t="e">
        <f t="shared" si="6"/>
        <v>#N/A</v>
      </c>
      <c r="T72" s="73" t="e">
        <f t="shared" si="7"/>
        <v>#N/A</v>
      </c>
      <c r="U72" s="242"/>
      <c r="V72" s="242"/>
      <c r="W72" s="73"/>
      <c r="X72" s="127"/>
    </row>
    <row r="73" spans="11:24" ht="13.5">
      <c r="K73" s="100">
        <v>17</v>
      </c>
      <c r="L73" s="100"/>
      <c r="M73" s="101"/>
      <c r="N73" s="71">
        <f t="shared" si="4"/>
        <v>4.08</v>
      </c>
      <c r="O73" s="72">
        <f t="shared" si="5"/>
        <v>42.204615453591664</v>
      </c>
      <c r="P73" s="73">
        <f t="shared" si="8"/>
        <v>357.1725014940174</v>
      </c>
      <c r="Q73" s="73">
        <f t="shared" si="9"/>
        <v>477.3890820842384</v>
      </c>
      <c r="R73" s="73">
        <f t="shared" si="10"/>
        <v>640.7976655390196</v>
      </c>
      <c r="S73" s="73" t="e">
        <f t="shared" si="6"/>
        <v>#N/A</v>
      </c>
      <c r="T73" s="73" t="e">
        <f t="shared" si="7"/>
        <v>#N/A</v>
      </c>
      <c r="U73" s="242"/>
      <c r="V73" s="242"/>
      <c r="W73" s="73"/>
      <c r="X73" s="127"/>
    </row>
    <row r="74" spans="11:24" ht="13.5">
      <c r="K74" s="100">
        <v>18</v>
      </c>
      <c r="L74" s="100"/>
      <c r="M74" s="101"/>
      <c r="N74" s="71">
        <f t="shared" si="4"/>
        <v>4.32</v>
      </c>
      <c r="O74" s="72">
        <f t="shared" si="5"/>
        <v>44.687239892038235</v>
      </c>
      <c r="P74" s="73">
        <f t="shared" si="8"/>
        <v>356.6401582239682</v>
      </c>
      <c r="Q74" s="73">
        <f t="shared" si="9"/>
        <v>476.0457299723157</v>
      </c>
      <c r="R74" s="73">
        <f t="shared" si="10"/>
        <v>636.4849808991595</v>
      </c>
      <c r="S74" s="73" t="e">
        <f t="shared" si="6"/>
        <v>#N/A</v>
      </c>
      <c r="T74" s="73" t="e">
        <f t="shared" si="7"/>
        <v>#N/A</v>
      </c>
      <c r="U74" s="242"/>
      <c r="V74" s="242"/>
      <c r="W74" s="73"/>
      <c r="X74" s="127"/>
    </row>
    <row r="75" spans="11:24" ht="13.5">
      <c r="K75" s="100">
        <v>19</v>
      </c>
      <c r="L75" s="100"/>
      <c r="M75" s="101"/>
      <c r="N75" s="71">
        <f t="shared" si="4"/>
        <v>4.56</v>
      </c>
      <c r="O75" s="72">
        <f t="shared" si="5"/>
        <v>47.1698643304848</v>
      </c>
      <c r="P75" s="73">
        <f t="shared" si="8"/>
        <v>356.08315112036627</v>
      </c>
      <c r="Q75" s="73">
        <f t="shared" si="9"/>
        <v>474.63161887112534</v>
      </c>
      <c r="R75" s="73">
        <f t="shared" si="10"/>
        <v>631.988757746353</v>
      </c>
      <c r="S75" s="73" t="e">
        <f t="shared" si="6"/>
        <v>#N/A</v>
      </c>
      <c r="T75" s="73" t="e">
        <f t="shared" si="7"/>
        <v>#N/A</v>
      </c>
      <c r="U75" s="242"/>
      <c r="V75" s="242"/>
      <c r="W75" s="73"/>
      <c r="X75" s="127"/>
    </row>
    <row r="76" spans="11:24" ht="13.5">
      <c r="K76" s="100">
        <v>20</v>
      </c>
      <c r="L76" s="100"/>
      <c r="M76" s="101"/>
      <c r="N76" s="71">
        <f t="shared" si="4"/>
        <v>4.8</v>
      </c>
      <c r="O76" s="72">
        <f t="shared" si="5"/>
        <v>49.65248876893137</v>
      </c>
      <c r="P76" s="73">
        <f t="shared" si="8"/>
        <v>355.50190194076407</v>
      </c>
      <c r="Q76" s="73">
        <f t="shared" si="9"/>
        <v>473.1479569619901</v>
      </c>
      <c r="R76" s="73">
        <f t="shared" si="10"/>
        <v>627.3179766580216</v>
      </c>
      <c r="S76" s="73" t="e">
        <f t="shared" si="6"/>
        <v>#N/A</v>
      </c>
      <c r="T76" s="73" t="e">
        <f t="shared" si="7"/>
        <v>#N/A</v>
      </c>
      <c r="U76" s="242"/>
      <c r="V76" s="242"/>
      <c r="W76" s="73"/>
      <c r="X76" s="127"/>
    </row>
    <row r="77" spans="11:24" ht="13.5">
      <c r="K77" s="100">
        <v>21</v>
      </c>
      <c r="L77" s="100"/>
      <c r="M77" s="101"/>
      <c r="N77" s="71">
        <f t="shared" si="4"/>
        <v>5.04</v>
      </c>
      <c r="O77" s="72">
        <f t="shared" si="5"/>
        <v>52.13511320737794</v>
      </c>
      <c r="P77" s="73">
        <f t="shared" si="8"/>
        <v>354.8968286209375</v>
      </c>
      <c r="Q77" s="73">
        <f t="shared" si="9"/>
        <v>471.59601355189716</v>
      </c>
      <c r="R77" s="73">
        <f t="shared" si="10"/>
        <v>622.4817541302499</v>
      </c>
      <c r="S77" s="73" t="e">
        <f t="shared" si="6"/>
        <v>#N/A</v>
      </c>
      <c r="T77" s="73" t="e">
        <f t="shared" si="7"/>
        <v>#N/A</v>
      </c>
      <c r="U77" s="242"/>
      <c r="V77" s="242"/>
      <c r="W77" s="73"/>
      <c r="X77" s="127"/>
    </row>
    <row r="78" spans="11:24" ht="13.5">
      <c r="K78" s="100">
        <v>22</v>
      </c>
      <c r="L78" s="100"/>
      <c r="M78" s="101"/>
      <c r="N78" s="71">
        <f t="shared" si="4"/>
        <v>5.28</v>
      </c>
      <c r="O78" s="72">
        <f t="shared" si="5"/>
        <v>54.61773764582451</v>
      </c>
      <c r="P78" s="73">
        <f t="shared" si="8"/>
        <v>354.2683460658237</v>
      </c>
      <c r="Q78" s="73">
        <f t="shared" si="9"/>
        <v>469.977115556583</v>
      </c>
      <c r="R78" s="73">
        <f t="shared" si="10"/>
        <v>617.4893037034766</v>
      </c>
      <c r="S78" s="73" t="e">
        <f t="shared" si="6"/>
        <v>#N/A</v>
      </c>
      <c r="T78" s="73" t="e">
        <f t="shared" si="7"/>
        <v>#N/A</v>
      </c>
      <c r="U78" s="242"/>
      <c r="V78" s="242"/>
      <c r="W78" s="73"/>
      <c r="X78" s="127"/>
    </row>
    <row r="79" spans="11:24" ht="13.5">
      <c r="K79" s="100">
        <v>23</v>
      </c>
      <c r="L79" s="100"/>
      <c r="M79" s="101"/>
      <c r="N79" s="71">
        <f t="shared" si="4"/>
        <v>5.52</v>
      </c>
      <c r="O79" s="72">
        <f t="shared" si="5"/>
        <v>57.10036208427107</v>
      </c>
      <c r="P79" s="73">
        <f t="shared" si="8"/>
        <v>353.616866779879</v>
      </c>
      <c r="Q79" s="73">
        <f t="shared" si="9"/>
        <v>468.2926439802392</v>
      </c>
      <c r="R79" s="73">
        <f t="shared" si="10"/>
        <v>612.3498982706883</v>
      </c>
      <c r="S79" s="73" t="e">
        <f t="shared" si="6"/>
        <v>#N/A</v>
      </c>
      <c r="T79" s="73" t="e">
        <f t="shared" si="7"/>
        <v>#N/A</v>
      </c>
      <c r="U79" s="242"/>
      <c r="V79" s="242"/>
      <c r="W79" s="73"/>
      <c r="X79" s="127"/>
    </row>
    <row r="80" spans="11:24" ht="13.5">
      <c r="K80" s="100">
        <v>24</v>
      </c>
      <c r="L80" s="100"/>
      <c r="M80" s="101"/>
      <c r="N80" s="71">
        <f t="shared" si="4"/>
        <v>5.76</v>
      </c>
      <c r="O80" s="72">
        <f t="shared" si="5"/>
        <v>59.58298652271764</v>
      </c>
      <c r="P80" s="73">
        <f t="shared" si="8"/>
        <v>352.94280136695494</v>
      </c>
      <c r="Q80" s="73">
        <f t="shared" si="9"/>
        <v>466.54403039010225</v>
      </c>
      <c r="R80" s="73">
        <f t="shared" si="10"/>
        <v>607.0728337972407</v>
      </c>
      <c r="S80" s="73" t="e">
        <f t="shared" si="6"/>
        <v>#N/A</v>
      </c>
      <c r="T80" s="73" t="e">
        <f t="shared" si="7"/>
        <v>#N/A</v>
      </c>
      <c r="U80" s="242"/>
      <c r="V80" s="242"/>
      <c r="W80" s="73"/>
      <c r="X80" s="127"/>
    </row>
    <row r="81" spans="11:24" ht="13.5">
      <c r="K81" s="100">
        <v>25</v>
      </c>
      <c r="L81" s="100"/>
      <c r="M81" s="101"/>
      <c r="N81" s="71">
        <f t="shared" si="4"/>
        <v>6</v>
      </c>
      <c r="O81" s="72">
        <f t="shared" si="5"/>
        <v>62.06561096116421</v>
      </c>
      <c r="P81" s="73">
        <f t="shared" si="8"/>
        <v>352.24655892324944</v>
      </c>
      <c r="Q81" s="73">
        <f t="shared" si="9"/>
        <v>464.73275338723744</v>
      </c>
      <c r="R81" s="73">
        <f t="shared" si="10"/>
        <v>601.6673946527607</v>
      </c>
      <c r="S81" s="73" t="e">
        <f t="shared" si="6"/>
        <v>#N/A</v>
      </c>
      <c r="T81" s="73" t="e">
        <f t="shared" si="7"/>
        <v>#N/A</v>
      </c>
      <c r="U81" s="242"/>
      <c r="V81" s="242"/>
      <c r="W81" s="73"/>
      <c r="X81" s="127"/>
    </row>
    <row r="82" spans="11:24" ht="13.5">
      <c r="K82" s="100">
        <v>26</v>
      </c>
      <c r="L82" s="100"/>
      <c r="M82" s="101"/>
      <c r="N82" s="71">
        <f t="shared" si="4"/>
        <v>6.24</v>
      </c>
      <c r="O82" s="72">
        <f t="shared" si="5"/>
        <v>64.54823539961077</v>
      </c>
      <c r="P82" s="73">
        <f t="shared" si="8"/>
        <v>351.5285473419831</v>
      </c>
      <c r="Q82" s="73">
        <f t="shared" si="9"/>
        <v>462.8603350770548</v>
      </c>
      <c r="R82" s="73">
        <f t="shared" si="10"/>
        <v>596.1428207263833</v>
      </c>
      <c r="S82" s="73" t="e">
        <f t="shared" si="6"/>
        <v>#N/A</v>
      </c>
      <c r="T82" s="73" t="e">
        <f t="shared" si="7"/>
        <v>#N/A</v>
      </c>
      <c r="U82" s="242"/>
      <c r="V82" s="242"/>
      <c r="W82" s="73"/>
      <c r="X82" s="127"/>
    </row>
    <row r="83" spans="11:24" ht="13.5">
      <c r="K83" s="100">
        <v>27</v>
      </c>
      <c r="L83" s="100"/>
      <c r="M83" s="101"/>
      <c r="N83" s="71">
        <f t="shared" si="4"/>
        <v>6.48</v>
      </c>
      <c r="O83" s="72">
        <f t="shared" si="5"/>
        <v>67.03085983805735</v>
      </c>
      <c r="P83" s="73">
        <f t="shared" si="8"/>
        <v>350.78917354473856</v>
      </c>
      <c r="Q83" s="73">
        <f t="shared" si="9"/>
        <v>460.92833754470865</v>
      </c>
      <c r="R83" s="73">
        <f t="shared" si="10"/>
        <v>590.5082764673632</v>
      </c>
      <c r="S83" s="73" t="e">
        <f t="shared" si="6"/>
        <v>#N/A</v>
      </c>
      <c r="T83" s="73" t="e">
        <f t="shared" si="7"/>
        <v>#N/A</v>
      </c>
      <c r="U83" s="242"/>
      <c r="V83" s="242"/>
      <c r="W83" s="73"/>
      <c r="X83" s="127"/>
    </row>
    <row r="84" spans="11:24" ht="13.5">
      <c r="K84" s="100">
        <v>28</v>
      </c>
      <c r="L84" s="100"/>
      <c r="M84" s="101"/>
      <c r="N84" s="71">
        <f t="shared" si="4"/>
        <v>6.72</v>
      </c>
      <c r="O84" s="72">
        <f t="shared" si="5"/>
        <v>69.5134842765039</v>
      </c>
      <c r="P84" s="73">
        <f t="shared" si="8"/>
        <v>350.0288436515394</v>
      </c>
      <c r="Q84" s="73">
        <f t="shared" si="9"/>
        <v>458.9383593416782</v>
      </c>
      <c r="R84" s="73">
        <f t="shared" si="10"/>
        <v>584.7728219642861</v>
      </c>
      <c r="S84" s="73" t="e">
        <f t="shared" si="6"/>
        <v>#N/A</v>
      </c>
      <c r="T84" s="73" t="e">
        <f t="shared" si="7"/>
        <v>#N/A</v>
      </c>
      <c r="U84" s="242"/>
      <c r="V84" s="242"/>
      <c r="W84" s="73"/>
      <c r="X84" s="127"/>
    </row>
    <row r="85" spans="11:24" ht="13.5">
      <c r="K85" s="100">
        <v>29</v>
      </c>
      <c r="L85" s="100"/>
      <c r="M85" s="101"/>
      <c r="N85" s="71">
        <f t="shared" si="4"/>
        <v>6.96</v>
      </c>
      <c r="O85" s="72">
        <f t="shared" si="5"/>
        <v>71.99610871495048</v>
      </c>
      <c r="P85" s="73">
        <f t="shared" si="8"/>
        <v>349.24796309953</v>
      </c>
      <c r="Q85" s="73">
        <f t="shared" si="9"/>
        <v>456.892031990609</v>
      </c>
      <c r="R85" s="73">
        <f t="shared" si="10"/>
        <v>578.9453861481412</v>
      </c>
      <c r="S85" s="73" t="e">
        <f t="shared" si="6"/>
        <v>#N/A</v>
      </c>
      <c r="T85" s="73" t="e">
        <f t="shared" si="7"/>
        <v>#N/A</v>
      </c>
      <c r="U85" s="242"/>
      <c r="V85" s="242"/>
      <c r="W85" s="73"/>
      <c r="X85" s="127"/>
    </row>
    <row r="86" spans="8:24" ht="14.25">
      <c r="H86" s="443"/>
      <c r="I86" s="443"/>
      <c r="J86" s="443"/>
      <c r="K86" s="100">
        <v>30</v>
      </c>
      <c r="L86" s="100"/>
      <c r="M86" s="102"/>
      <c r="N86" s="71">
        <f t="shared" si="4"/>
        <v>7.2</v>
      </c>
      <c r="O86" s="72">
        <f t="shared" si="5"/>
        <v>74.47873315339706</v>
      </c>
      <c r="P86" s="73">
        <f t="shared" si="8"/>
        <v>348.4469367183752</v>
      </c>
      <c r="Q86" s="73">
        <f t="shared" si="9"/>
        <v>454.79101651600433</v>
      </c>
      <c r="R86" s="73">
        <f t="shared" si="10"/>
        <v>573.0347421777138</v>
      </c>
      <c r="S86" s="73" t="e">
        <f t="shared" si="6"/>
        <v>#N/A</v>
      </c>
      <c r="T86" s="73" t="e">
        <f t="shared" si="7"/>
        <v>#N/A</v>
      </c>
      <c r="U86" s="242"/>
      <c r="V86" s="242"/>
      <c r="W86" s="73"/>
      <c r="X86" s="127"/>
    </row>
    <row r="87" spans="8:24" ht="15">
      <c r="H87" s="75"/>
      <c r="I87" s="75"/>
      <c r="J87" s="38"/>
      <c r="K87" s="100">
        <v>31</v>
      </c>
      <c r="L87" s="100"/>
      <c r="M87" s="101"/>
      <c r="N87" s="71">
        <f t="shared" si="4"/>
        <v>7.44</v>
      </c>
      <c r="O87" s="72">
        <f t="shared" si="5"/>
        <v>76.96135759184362</v>
      </c>
      <c r="P87" s="73">
        <f t="shared" si="8"/>
        <v>347.6261687691206</v>
      </c>
      <c r="Q87" s="73">
        <f t="shared" si="9"/>
        <v>452.63700000862957</v>
      </c>
      <c r="R87" s="73">
        <f t="shared" si="10"/>
        <v>567.0494850404721</v>
      </c>
      <c r="S87" s="73" t="e">
        <f t="shared" si="6"/>
        <v>#N/A</v>
      </c>
      <c r="T87" s="73" t="e">
        <f t="shared" si="7"/>
        <v>#N/A</v>
      </c>
      <c r="U87" s="242"/>
      <c r="V87" s="242"/>
      <c r="W87" s="73"/>
      <c r="X87" s="127"/>
    </row>
    <row r="88" spans="11:24" ht="13.5">
      <c r="K88" s="100">
        <v>32</v>
      </c>
      <c r="L88" s="100"/>
      <c r="M88" s="101"/>
      <c r="N88" s="71">
        <f aca="true" t="shared" si="11" ref="N88:N106">$K$17*K88/50</f>
        <v>7.68</v>
      </c>
      <c r="O88" s="72">
        <f aca="true" t="shared" si="12" ref="O88:O106">0.4*PI()*$E$10*$N88/$S$2</f>
        <v>79.44398203029019</v>
      </c>
      <c r="P88" s="73">
        <f t="shared" si="8"/>
        <v>346.7860629521507</v>
      </c>
      <c r="Q88" s="73">
        <f t="shared" si="9"/>
        <v>450.43169223159487</v>
      </c>
      <c r="R88" s="73">
        <f t="shared" si="10"/>
        <v>560.9980113785282</v>
      </c>
      <c r="S88" s="73" t="e">
        <f aca="true" t="shared" si="13" ref="S88:S106">0.4*PI()*$E$10^2*$S$3*0.01*(1/($B$26+$C$26*O88^($D$26-1)))/$S$2</f>
        <v>#N/A</v>
      </c>
      <c r="T88" s="73" t="e">
        <f aca="true" t="shared" si="14" ref="T88:T106">0.4*PI()*$E$10^2*$S$3*0.01*(1/($B$27+$C$27*O88^($D$27-1)))/$S$2</f>
        <v>#N/A</v>
      </c>
      <c r="U88" s="242"/>
      <c r="V88" s="242"/>
      <c r="W88" s="73"/>
      <c r="X88" s="127"/>
    </row>
    <row r="89" spans="11:24" ht="13.5">
      <c r="K89" s="100">
        <v>33</v>
      </c>
      <c r="L89" s="100"/>
      <c r="M89" s="101"/>
      <c r="N89" s="71">
        <f t="shared" si="11"/>
        <v>7.92</v>
      </c>
      <c r="O89" s="72">
        <f t="shared" si="12"/>
        <v>81.92660646873676</v>
      </c>
      <c r="P89" s="73">
        <f t="shared" si="8"/>
        <v>345.9270223889937</v>
      </c>
      <c r="Q89" s="73">
        <f t="shared" si="9"/>
        <v>448.1768222760325</v>
      </c>
      <c r="R89" s="73">
        <f t="shared" si="10"/>
        <v>554.8885015276293</v>
      </c>
      <c r="S89" s="73" t="e">
        <f t="shared" si="13"/>
        <v>#N/A</v>
      </c>
      <c r="T89" s="73" t="e">
        <f t="shared" si="14"/>
        <v>#N/A</v>
      </c>
      <c r="U89" s="242"/>
      <c r="V89" s="242"/>
      <c r="W89" s="73"/>
      <c r="X89" s="127"/>
    </row>
    <row r="90" spans="11:24" ht="13.5">
      <c r="K90" s="100">
        <v>34</v>
      </c>
      <c r="L90" s="100"/>
      <c r="M90" s="101"/>
      <c r="N90" s="71">
        <f t="shared" si="11"/>
        <v>8.16</v>
      </c>
      <c r="O90" s="72">
        <f t="shared" si="12"/>
        <v>84.40923090718333</v>
      </c>
      <c r="P90" s="73">
        <f t="shared" si="8"/>
        <v>345.0494495819989</v>
      </c>
      <c r="Q90" s="73">
        <f t="shared" si="9"/>
        <v>445.87413527411957</v>
      </c>
      <c r="R90" s="73">
        <f t="shared" si="10"/>
        <v>548.7289037375233</v>
      </c>
      <c r="S90" s="73" t="e">
        <f t="shared" si="13"/>
        <v>#N/A</v>
      </c>
      <c r="T90" s="73" t="e">
        <f t="shared" si="14"/>
        <v>#N/A</v>
      </c>
      <c r="U90" s="242"/>
      <c r="V90" s="242"/>
      <c r="W90" s="73"/>
      <c r="X90" s="127"/>
    </row>
    <row r="91" spans="11:24" ht="13.5">
      <c r="K91" s="100">
        <v>35</v>
      </c>
      <c r="L91" s="100"/>
      <c r="M91" s="101"/>
      <c r="N91" s="71">
        <f t="shared" si="11"/>
        <v>8.4</v>
      </c>
      <c r="O91" s="72">
        <f t="shared" si="12"/>
        <v>86.89185534562989</v>
      </c>
      <c r="P91" s="73">
        <f t="shared" si="8"/>
        <v>344.1537463553216</v>
      </c>
      <c r="Q91" s="73">
        <f t="shared" si="9"/>
        <v>443.52538917693977</v>
      </c>
      <c r="R91" s="73">
        <f t="shared" si="10"/>
        <v>542.5269205246038</v>
      </c>
      <c r="S91" s="73" t="e">
        <f t="shared" si="13"/>
        <v>#N/A</v>
      </c>
      <c r="T91" s="73" t="e">
        <f t="shared" si="14"/>
        <v>#N/A</v>
      </c>
      <c r="U91" s="242"/>
      <c r="V91" s="242"/>
      <c r="W91" s="73"/>
      <c r="X91" s="127"/>
    </row>
    <row r="92" spans="11:24" ht="13.5">
      <c r="K92" s="100">
        <v>36</v>
      </c>
      <c r="L92" s="100"/>
      <c r="M92" s="101"/>
      <c r="N92" s="71">
        <f t="shared" si="11"/>
        <v>8.64</v>
      </c>
      <c r="O92" s="72">
        <f t="shared" si="12"/>
        <v>89.37447978407647</v>
      </c>
      <c r="P92" s="73">
        <f t="shared" si="8"/>
        <v>343.24031378015934</v>
      </c>
      <c r="Q92" s="73">
        <f t="shared" si="9"/>
        <v>441.13235160433004</v>
      </c>
      <c r="R92" s="73">
        <f t="shared" si="10"/>
        <v>536.2899970924761</v>
      </c>
      <c r="S92" s="73" t="e">
        <f t="shared" si="13"/>
        <v>#N/A</v>
      </c>
      <c r="T92" s="73" t="e">
        <f t="shared" si="14"/>
        <v>#N/A</v>
      </c>
      <c r="U92" s="242"/>
      <c r="V92" s="242"/>
      <c r="W92" s="73"/>
      <c r="X92" s="127"/>
    </row>
    <row r="93" spans="11:24" ht="13.5">
      <c r="K93" s="100">
        <v>37</v>
      </c>
      <c r="L93" s="100"/>
      <c r="M93" s="101"/>
      <c r="N93" s="71">
        <f t="shared" si="11"/>
        <v>8.88</v>
      </c>
      <c r="O93" s="72">
        <f t="shared" si="12"/>
        <v>91.85710422252303</v>
      </c>
      <c r="P93" s="73">
        <f t="shared" si="8"/>
        <v>342.3095520867828</v>
      </c>
      <c r="Q93" s="73">
        <f t="shared" si="9"/>
        <v>438.6967967734591</v>
      </c>
      <c r="R93" s="73">
        <f t="shared" si="10"/>
        <v>530.0253117429736</v>
      </c>
      <c r="S93" s="73" t="e">
        <f t="shared" si="13"/>
        <v>#N/A</v>
      </c>
      <c r="T93" s="73" t="e">
        <f t="shared" si="14"/>
        <v>#N/A</v>
      </c>
      <c r="U93" s="242"/>
      <c r="V93" s="242"/>
      <c r="W93" s="73"/>
      <c r="X93" s="127"/>
    </row>
    <row r="94" spans="11:24" ht="13.5">
      <c r="K94" s="100">
        <v>38</v>
      </c>
      <c r="L94" s="100"/>
      <c r="M94" s="101"/>
      <c r="N94" s="71">
        <f t="shared" si="11"/>
        <v>9.12</v>
      </c>
      <c r="O94" s="72">
        <f t="shared" si="12"/>
        <v>94.3397286609696</v>
      </c>
      <c r="P94" s="73">
        <f t="shared" si="8"/>
        <v>341.36186056555994</v>
      </c>
      <c r="Q94" s="73">
        <f t="shared" si="9"/>
        <v>436.22050251243417</v>
      </c>
      <c r="R94" s="73">
        <f t="shared" si="10"/>
        <v>523.7397681892198</v>
      </c>
      <c r="S94" s="73" t="e">
        <f t="shared" si="13"/>
        <v>#N/A</v>
      </c>
      <c r="T94" s="73" t="e">
        <f t="shared" si="14"/>
        <v>#N/A</v>
      </c>
      <c r="U94" s="242"/>
      <c r="V94" s="242"/>
      <c r="W94" s="73"/>
      <c r="X94" s="127"/>
    </row>
    <row r="95" spans="11:24" ht="13.5">
      <c r="K95" s="100">
        <v>39</v>
      </c>
      <c r="L95" s="100"/>
      <c r="M95" s="101"/>
      <c r="N95" s="71">
        <f t="shared" si="11"/>
        <v>9.36</v>
      </c>
      <c r="O95" s="72">
        <f t="shared" si="12"/>
        <v>96.82235309941616</v>
      </c>
      <c r="P95" s="73">
        <f t="shared" si="8"/>
        <v>340.3976374588906</v>
      </c>
      <c r="Q95" s="73">
        <f t="shared" si="9"/>
        <v>433.7052473647326</v>
      </c>
      <c r="R95" s="73">
        <f t="shared" si="10"/>
        <v>517.4399896734051</v>
      </c>
      <c r="S95" s="73" t="e">
        <f t="shared" si="13"/>
        <v>#N/A</v>
      </c>
      <c r="T95" s="73" t="e">
        <f t="shared" si="14"/>
        <v>#N/A</v>
      </c>
      <c r="U95" s="242"/>
      <c r="V95" s="242"/>
      <c r="W95" s="73"/>
      <c r="X95" s="127"/>
    </row>
    <row r="96" spans="11:24" ht="13.5">
      <c r="K96" s="100">
        <v>40</v>
      </c>
      <c r="L96" s="100"/>
      <c r="M96" s="101"/>
      <c r="N96" s="71">
        <f t="shared" si="11"/>
        <v>9.6</v>
      </c>
      <c r="O96" s="72">
        <f t="shared" si="12"/>
        <v>99.30497753786274</v>
      </c>
      <c r="P96" s="73">
        <f t="shared" si="8"/>
        <v>339.41727984572543</v>
      </c>
      <c r="Q96" s="73">
        <f t="shared" si="9"/>
        <v>431.15280778974005</v>
      </c>
      <c r="R96" s="73">
        <f t="shared" si="10"/>
        <v>511.13231478503127</v>
      </c>
      <c r="S96" s="73" t="e">
        <f t="shared" si="13"/>
        <v>#N/A</v>
      </c>
      <c r="T96" s="73" t="e">
        <f t="shared" si="14"/>
        <v>#N/A</v>
      </c>
      <c r="U96" s="242"/>
      <c r="V96" s="242"/>
      <c r="W96" s="73"/>
      <c r="X96" s="127"/>
    </row>
    <row r="97" spans="11:24" ht="13.5">
      <c r="K97" s="100">
        <v>41</v>
      </c>
      <c r="L97" s="100"/>
      <c r="M97" s="101"/>
      <c r="N97" s="71">
        <f t="shared" si="11"/>
        <v>9.84</v>
      </c>
      <c r="O97" s="72">
        <f t="shared" si="12"/>
        <v>101.7876019763093</v>
      </c>
      <c r="P97" s="73">
        <f t="shared" si="8"/>
        <v>338.42118352013625</v>
      </c>
      <c r="Q97" s="73">
        <f t="shared" si="9"/>
        <v>428.5649554641316</v>
      </c>
      <c r="R97" s="73">
        <f t="shared" si="10"/>
        <v>504.82279487026284</v>
      </c>
      <c r="S97" s="73" t="e">
        <f t="shared" si="13"/>
        <v>#N/A</v>
      </c>
      <c r="T97" s="73" t="e">
        <f t="shared" si="14"/>
        <v>#N/A</v>
      </c>
      <c r="U97" s="242"/>
      <c r="V97" s="242"/>
      <c r="W97" s="73"/>
      <c r="X97" s="127"/>
    </row>
    <row r="98" spans="11:24" ht="13.5">
      <c r="K98" s="100">
        <v>42</v>
      </c>
      <c r="L98" s="100"/>
      <c r="M98" s="101"/>
      <c r="N98" s="71">
        <f t="shared" si="11"/>
        <v>10.08</v>
      </c>
      <c r="O98" s="72">
        <f t="shared" si="12"/>
        <v>104.27022641475588</v>
      </c>
      <c r="P98" s="73">
        <f t="shared" si="8"/>
        <v>337.4097428652302</v>
      </c>
      <c r="Q98" s="73">
        <f t="shared" si="9"/>
        <v>425.9434546882759</v>
      </c>
      <c r="R98" s="73">
        <f t="shared" si="10"/>
        <v>498.51719291963497</v>
      </c>
      <c r="S98" s="73" t="e">
        <f t="shared" si="13"/>
        <v>#N/A</v>
      </c>
      <c r="T98" s="73" t="e">
        <f t="shared" si="14"/>
        <v>#N/A</v>
      </c>
      <c r="U98" s="242"/>
      <c r="V98" s="242"/>
      <c r="W98" s="73"/>
      <c r="X98" s="127"/>
    </row>
    <row r="99" spans="11:24" ht="13.5">
      <c r="K99" s="100">
        <v>43</v>
      </c>
      <c r="L99" s="100"/>
      <c r="M99" s="101"/>
      <c r="N99" s="71">
        <f t="shared" si="11"/>
        <v>10.32</v>
      </c>
      <c r="O99" s="72">
        <f t="shared" si="12"/>
        <v>106.75285085320246</v>
      </c>
      <c r="P99" s="73">
        <f t="shared" si="8"/>
        <v>336.3833507235467</v>
      </c>
      <c r="Q99" s="73">
        <f t="shared" si="9"/>
        <v>423.2900599012882</v>
      </c>
      <c r="R99" s="73">
        <f t="shared" si="10"/>
        <v>492.2209838195321</v>
      </c>
      <c r="S99" s="73" t="e">
        <f t="shared" si="13"/>
        <v>#N/A</v>
      </c>
      <c r="T99" s="73" t="e">
        <f t="shared" si="14"/>
        <v>#N/A</v>
      </c>
      <c r="U99" s="242"/>
      <c r="V99" s="242"/>
      <c r="W99" s="73"/>
      <c r="X99" s="127"/>
    </row>
    <row r="100" spans="11:24" ht="13.5">
      <c r="K100" s="100">
        <v>44</v>
      </c>
      <c r="L100" s="100"/>
      <c r="M100" s="101"/>
      <c r="N100" s="71">
        <f t="shared" si="11"/>
        <v>10.56</v>
      </c>
      <c r="O100" s="72">
        <f t="shared" si="12"/>
        <v>109.23547529164902</v>
      </c>
      <c r="P100" s="73">
        <f t="shared" si="8"/>
        <v>335.3423982649449</v>
      </c>
      <c r="Q100" s="73">
        <f t="shared" si="9"/>
        <v>420.6065133077813</v>
      </c>
      <c r="R100" s="73">
        <f t="shared" si="10"/>
        <v>485.9393558524095</v>
      </c>
      <c r="S100" s="73" t="e">
        <f t="shared" si="13"/>
        <v>#N/A</v>
      </c>
      <c r="T100" s="73" t="e">
        <f t="shared" si="14"/>
        <v>#N/A</v>
      </c>
      <c r="U100" s="242"/>
      <c r="V100" s="242"/>
      <c r="W100" s="73"/>
      <c r="X100" s="127"/>
    </row>
    <row r="101" spans="11:24" ht="13.5">
      <c r="K101" s="100">
        <v>45</v>
      </c>
      <c r="L101" s="100"/>
      <c r="M101" s="101"/>
      <c r="N101" s="71">
        <f t="shared" si="11"/>
        <v>10.8</v>
      </c>
      <c r="O101" s="72">
        <f t="shared" si="12"/>
        <v>111.7180997300956</v>
      </c>
      <c r="P101" s="73">
        <f t="shared" si="8"/>
        <v>334.2872748528731</v>
      </c>
      <c r="Q101" s="73">
        <f t="shared" si="9"/>
        <v>417.8945426188237</v>
      </c>
      <c r="R101" s="73">
        <f t="shared" si="10"/>
        <v>479.6772133315416</v>
      </c>
      <c r="S101" s="73" t="e">
        <f t="shared" si="13"/>
        <v>#N/A</v>
      </c>
      <c r="T101" s="73" t="e">
        <f t="shared" si="14"/>
        <v>#N/A</v>
      </c>
      <c r="U101" s="242"/>
      <c r="V101" s="242"/>
      <c r="W101" s="73"/>
      <c r="X101" s="127"/>
    </row>
    <row r="102" spans="11:24" ht="13.5">
      <c r="K102" s="100">
        <v>46</v>
      </c>
      <c r="L102" s="100"/>
      <c r="M102" s="101"/>
      <c r="N102" s="71">
        <f t="shared" si="11"/>
        <v>11.04</v>
      </c>
      <c r="O102" s="72">
        <f t="shared" si="12"/>
        <v>114.20072416854214</v>
      </c>
      <c r="P102" s="73">
        <f t="shared" si="8"/>
        <v>333.2183679098138</v>
      </c>
      <c r="Q102" s="73">
        <f t="shared" si="9"/>
        <v>415.1558589090518</v>
      </c>
      <c r="R102" s="73">
        <f t="shared" si="10"/>
        <v>473.4391802579815</v>
      </c>
      <c r="S102" s="73" t="e">
        <f t="shared" si="13"/>
        <v>#N/A</v>
      </c>
      <c r="T102" s="73" t="e">
        <f t="shared" si="14"/>
        <v>#N/A</v>
      </c>
      <c r="U102" s="242"/>
      <c r="V102" s="242"/>
      <c r="W102" s="73"/>
      <c r="X102" s="127"/>
    </row>
    <row r="103" spans="11:24" ht="13.5">
      <c r="K103" s="100">
        <v>47</v>
      </c>
      <c r="L103" s="100"/>
      <c r="M103" s="101"/>
      <c r="N103" s="71">
        <f t="shared" si="11"/>
        <v>11.28</v>
      </c>
      <c r="O103" s="72">
        <f t="shared" si="12"/>
        <v>116.68334860698872</v>
      </c>
      <c r="P103" s="73">
        <f t="shared" si="8"/>
        <v>332.13606278260744</v>
      </c>
      <c r="Q103" s="73">
        <f t="shared" si="9"/>
        <v>412.3921545913574</v>
      </c>
      <c r="R103" s="73">
        <f t="shared" si="10"/>
        <v>467.22960489024626</v>
      </c>
      <c r="S103" s="73" t="e">
        <f t="shared" si="13"/>
        <v>#N/A</v>
      </c>
      <c r="T103" s="73" t="e">
        <f t="shared" si="14"/>
        <v>#N/A</v>
      </c>
      <c r="U103" s="242"/>
      <c r="V103" s="242"/>
      <c r="W103" s="73"/>
      <c r="X103" s="127"/>
    </row>
    <row r="104" spans="11:24" ht="13.5">
      <c r="K104" s="100">
        <v>48</v>
      </c>
      <c r="L104" s="100"/>
      <c r="M104" s="101"/>
      <c r="N104" s="71">
        <f t="shared" si="11"/>
        <v>11.52</v>
      </c>
      <c r="O104" s="72">
        <f t="shared" si="12"/>
        <v>119.16597304543528</v>
      </c>
      <c r="P104" s="73">
        <f t="shared" si="8"/>
        <v>331.04074260827883</v>
      </c>
      <c r="Q104" s="73">
        <f t="shared" si="9"/>
        <v>409.60510151004854</v>
      </c>
      <c r="R104" s="73">
        <f t="shared" si="10"/>
        <v>461.05256512086146</v>
      </c>
      <c r="S104" s="73" t="e">
        <f t="shared" si="13"/>
        <v>#N/A</v>
      </c>
      <c r="T104" s="73" t="e">
        <f t="shared" si="14"/>
        <v>#N/A</v>
      </c>
      <c r="U104" s="242"/>
      <c r="V104" s="242"/>
      <c r="W104" s="73"/>
      <c r="X104" s="127"/>
    </row>
    <row r="105" spans="11:24" ht="13.5">
      <c r="K105" s="100">
        <v>49</v>
      </c>
      <c r="L105" s="100"/>
      <c r="M105" s="101"/>
      <c r="N105" s="71">
        <f t="shared" si="11"/>
        <v>11.76</v>
      </c>
      <c r="O105" s="72">
        <f t="shared" si="12"/>
        <v>121.64859748388186</v>
      </c>
      <c r="P105" s="73">
        <f t="shared" si="8"/>
        <v>329.9327881809242</v>
      </c>
      <c r="Q105" s="73">
        <f t="shared" si="9"/>
        <v>406.7963491528881</v>
      </c>
      <c r="R105" s="73">
        <f t="shared" si="10"/>
        <v>454.9118745581768</v>
      </c>
      <c r="S105" s="73" t="e">
        <f t="shared" si="13"/>
        <v>#N/A</v>
      </c>
      <c r="T105" s="73" t="e">
        <f t="shared" si="14"/>
        <v>#N/A</v>
      </c>
      <c r="U105" s="242"/>
      <c r="V105" s="242"/>
      <c r="W105" s="73"/>
      <c r="X105" s="127"/>
    </row>
    <row r="106" spans="11:24" ht="13.5">
      <c r="K106" s="100">
        <v>50</v>
      </c>
      <c r="L106" s="100"/>
      <c r="M106" s="101"/>
      <c r="N106" s="71">
        <f t="shared" si="11"/>
        <v>12</v>
      </c>
      <c r="O106" s="76">
        <f t="shared" si="12"/>
        <v>124.13122192232842</v>
      </c>
      <c r="P106" s="73">
        <f t="shared" si="8"/>
        <v>328.8125778201514</v>
      </c>
      <c r="Q106" s="73">
        <f t="shared" si="9"/>
        <v>403.9675229819358</v>
      </c>
      <c r="R106" s="73">
        <f t="shared" si="10"/>
        <v>448.81108921664185</v>
      </c>
      <c r="S106" s="73" t="e">
        <f t="shared" si="13"/>
        <v>#N/A</v>
      </c>
      <c r="T106" s="73" t="e">
        <f t="shared" si="14"/>
        <v>#N/A</v>
      </c>
      <c r="U106" s="242"/>
      <c r="V106" s="242"/>
      <c r="W106" s="73"/>
      <c r="X106" s="127"/>
    </row>
    <row r="107" spans="11:24" ht="13.5">
      <c r="K107" s="100"/>
      <c r="L107" s="100"/>
      <c r="M107" s="101"/>
      <c r="N107" s="247"/>
      <c r="O107" s="247"/>
      <c r="P107" s="247"/>
      <c r="Q107" s="247"/>
      <c r="R107" s="247"/>
      <c r="S107" s="247"/>
      <c r="T107" s="247"/>
      <c r="U107" s="247"/>
      <c r="V107" s="247"/>
      <c r="W107" s="101"/>
      <c r="X107" s="123"/>
    </row>
    <row r="108" spans="11:24" ht="13.5">
      <c r="K108" s="100"/>
      <c r="L108" s="100"/>
      <c r="M108" s="101"/>
      <c r="N108" s="247"/>
      <c r="O108" s="247"/>
      <c r="P108" s="247"/>
      <c r="Q108" s="247"/>
      <c r="R108" s="247"/>
      <c r="S108" s="247"/>
      <c r="T108" s="247"/>
      <c r="U108" s="247"/>
      <c r="V108" s="247"/>
      <c r="W108" s="101"/>
      <c r="X108" s="123"/>
    </row>
    <row r="109" spans="11:24" ht="13.5">
      <c r="K109" s="122"/>
      <c r="L109" s="122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</row>
    <row r="110" spans="11:24" ht="13.5">
      <c r="K110" s="122"/>
      <c r="L110" s="122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</row>
    <row r="111" spans="11:24" ht="13.5">
      <c r="K111" s="122"/>
      <c r="L111" s="122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</row>
    <row r="112" spans="11:24" ht="13.5">
      <c r="K112" s="122"/>
      <c r="L112" s="122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</row>
    <row r="113" spans="11:24" ht="13.5">
      <c r="K113" s="122"/>
      <c r="L113" s="122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</row>
    <row r="114" spans="11:24" ht="13.5">
      <c r="K114" s="122"/>
      <c r="L114" s="122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</row>
    <row r="115" spans="11:24" ht="13.5"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</row>
    <row r="116" spans="11:24" ht="13.5"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</row>
    <row r="117" spans="11:24" ht="13.5"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</row>
    <row r="118" spans="11:24" ht="13.5"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</row>
    <row r="119" spans="11:24" ht="13.5"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</row>
    <row r="120" spans="11:24" ht="13.5"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</row>
    <row r="121" spans="11:24" ht="13.5"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</row>
    <row r="122" spans="11:24" ht="13.5"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</row>
    <row r="123" spans="11:24" ht="13.5"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</row>
    <row r="124" spans="11:24" ht="13.5"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</row>
    <row r="125" spans="11:24" ht="13.5"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</row>
    <row r="126" spans="11:24" ht="13.5"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</row>
    <row r="127" spans="11:24" ht="13.5"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</row>
    <row r="128" spans="11:24" ht="13.5"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</row>
    <row r="129" spans="11:24" ht="13.5"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</row>
    <row r="130" spans="11:24" ht="13.5"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1:24" ht="13.5"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1:24" ht="13.5"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11:24" ht="13.5"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11:24" ht="13.5"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</sheetData>
  <sheetProtection/>
  <mergeCells count="150">
    <mergeCell ref="S31:T31"/>
    <mergeCell ref="I26:J26"/>
    <mergeCell ref="I23:J23"/>
    <mergeCell ref="I24:J24"/>
    <mergeCell ref="K26:L26"/>
    <mergeCell ref="I29:J29"/>
    <mergeCell ref="Q31:R31"/>
    <mergeCell ref="K27:L27"/>
    <mergeCell ref="K23:L23"/>
    <mergeCell ref="I25:J25"/>
    <mergeCell ref="Q21:S21"/>
    <mergeCell ref="G17:H17"/>
    <mergeCell ref="A14:D14"/>
    <mergeCell ref="A16:D16"/>
    <mergeCell ref="E16:F16"/>
    <mergeCell ref="I16:K16"/>
    <mergeCell ref="A12:D12"/>
    <mergeCell ref="K12:L12"/>
    <mergeCell ref="E10:F10"/>
    <mergeCell ref="G15:I15"/>
    <mergeCell ref="I18:J18"/>
    <mergeCell ref="A11:D11"/>
    <mergeCell ref="E12:F12"/>
    <mergeCell ref="A17:D17"/>
    <mergeCell ref="O31:P31"/>
    <mergeCell ref="L31:L32"/>
    <mergeCell ref="A45:C45"/>
    <mergeCell ref="D44:E44"/>
    <mergeCell ref="D38:E38"/>
    <mergeCell ref="I27:J27"/>
    <mergeCell ref="I28:J28"/>
    <mergeCell ref="F33:G33"/>
    <mergeCell ref="D34:E34"/>
    <mergeCell ref="D33:E33"/>
    <mergeCell ref="D35:E35"/>
    <mergeCell ref="A47:C47"/>
    <mergeCell ref="B53:C53"/>
    <mergeCell ref="D52:E52"/>
    <mergeCell ref="D53:E53"/>
    <mergeCell ref="A48:C48"/>
    <mergeCell ref="D41:F41"/>
    <mergeCell ref="A39:C39"/>
    <mergeCell ref="D36:E36"/>
    <mergeCell ref="B38:C38"/>
    <mergeCell ref="H86:J86"/>
    <mergeCell ref="D50:F50"/>
    <mergeCell ref="D43:F43"/>
    <mergeCell ref="G42:H42"/>
    <mergeCell ref="B52:C52"/>
    <mergeCell ref="G43:H43"/>
    <mergeCell ref="A49:C49"/>
    <mergeCell ref="A50:C50"/>
    <mergeCell ref="A42:C42"/>
    <mergeCell ref="D45:E45"/>
    <mergeCell ref="A41:C41"/>
    <mergeCell ref="D40:E40"/>
    <mergeCell ref="D39:E39"/>
    <mergeCell ref="F38:G38"/>
    <mergeCell ref="K51:L51"/>
    <mergeCell ref="D46:E46"/>
    <mergeCell ref="G41:H41"/>
    <mergeCell ref="G50:H50"/>
    <mergeCell ref="G51:H51"/>
    <mergeCell ref="D51:F51"/>
    <mergeCell ref="D42:F42"/>
    <mergeCell ref="K43:L43"/>
    <mergeCell ref="D47:E47"/>
    <mergeCell ref="I5:J5"/>
    <mergeCell ref="K22:L22"/>
    <mergeCell ref="K28:L28"/>
    <mergeCell ref="K29:L29"/>
    <mergeCell ref="K25:L25"/>
    <mergeCell ref="D37:E37"/>
    <mergeCell ref="F39:G39"/>
    <mergeCell ref="S2:T2"/>
    <mergeCell ref="S3:T3"/>
    <mergeCell ref="J6:K6"/>
    <mergeCell ref="S4:T4"/>
    <mergeCell ref="S5:T5"/>
    <mergeCell ref="O5:P5"/>
    <mergeCell ref="M6:O6"/>
    <mergeCell ref="Q2:R2"/>
    <mergeCell ref="Q4:R4"/>
    <mergeCell ref="Q5:R5"/>
    <mergeCell ref="D3:E3"/>
    <mergeCell ref="A10:D10"/>
    <mergeCell ref="A4:C4"/>
    <mergeCell ref="G13:I13"/>
    <mergeCell ref="G27:H27"/>
    <mergeCell ref="I22:J22"/>
    <mergeCell ref="E11:F11"/>
    <mergeCell ref="G12:I12"/>
    <mergeCell ref="G25:H25"/>
    <mergeCell ref="G14:I14"/>
    <mergeCell ref="A3:C3"/>
    <mergeCell ref="A5:C5"/>
    <mergeCell ref="D4:E4"/>
    <mergeCell ref="A46:C46"/>
    <mergeCell ref="A43:C43"/>
    <mergeCell ref="B35:C35"/>
    <mergeCell ref="B36:C36"/>
    <mergeCell ref="B37:C37"/>
    <mergeCell ref="A44:C44"/>
    <mergeCell ref="A40:C40"/>
    <mergeCell ref="L5:N5"/>
    <mergeCell ref="E17:F17"/>
    <mergeCell ref="E15:F15"/>
    <mergeCell ref="E18:F18"/>
    <mergeCell ref="G26:H26"/>
    <mergeCell ref="G10:I10"/>
    <mergeCell ref="K24:L24"/>
    <mergeCell ref="G23:H23"/>
    <mergeCell ref="G24:H24"/>
    <mergeCell ref="G22:H22"/>
    <mergeCell ref="Q3:R3"/>
    <mergeCell ref="A15:D15"/>
    <mergeCell ref="B31:C31"/>
    <mergeCell ref="B32:C32"/>
    <mergeCell ref="D31:E31"/>
    <mergeCell ref="D32:E32"/>
    <mergeCell ref="G11:I11"/>
    <mergeCell ref="A18:D18"/>
    <mergeCell ref="A31:A32"/>
    <mergeCell ref="A13:D13"/>
    <mergeCell ref="Q10:R10"/>
    <mergeCell ref="S10:T10"/>
    <mergeCell ref="K10:L10"/>
    <mergeCell ref="K11:L11"/>
    <mergeCell ref="P6:Q6"/>
    <mergeCell ref="G6:I6"/>
    <mergeCell ref="F35:G35"/>
    <mergeCell ref="F34:G34"/>
    <mergeCell ref="F36:G36"/>
    <mergeCell ref="F37:G37"/>
    <mergeCell ref="G3:H4"/>
    <mergeCell ref="P10:P11"/>
    <mergeCell ref="G29:H29"/>
    <mergeCell ref="E14:F14"/>
    <mergeCell ref="M31:M32"/>
    <mergeCell ref="N31:N32"/>
    <mergeCell ref="B33:C33"/>
    <mergeCell ref="B34:C34"/>
    <mergeCell ref="G18:H18"/>
    <mergeCell ref="E13:F13"/>
    <mergeCell ref="K13:L13"/>
    <mergeCell ref="F31:G31"/>
    <mergeCell ref="F32:G32"/>
    <mergeCell ref="G28:H28"/>
    <mergeCell ref="K14:L14"/>
    <mergeCell ref="K15:L15"/>
  </mergeCells>
  <conditionalFormatting sqref="P12:T17 L33:T37 D31:F39 H31:J39 G33:G39">
    <cfRule type="cellIs" priority="14" dxfId="7" operator="equal" stopIfTrue="1">
      <formula>0</formula>
    </cfRule>
  </conditionalFormatting>
  <conditionalFormatting sqref="P12:T17 L33:T37 A31:F39 H31:J39 G33:G39">
    <cfRule type="expression" priority="15" dxfId="7" stopIfTrue="1">
      <formula>ISERROR(A12)</formula>
    </cfRule>
  </conditionalFormatting>
  <conditionalFormatting sqref="J10">
    <cfRule type="cellIs" priority="8" dxfId="8" operator="greaterThan" stopIfTrue="1">
      <formula>60</formula>
    </cfRule>
  </conditionalFormatting>
  <conditionalFormatting sqref="S12:T17">
    <cfRule type="cellIs" priority="7" dxfId="8" operator="greaterThan" stopIfTrue="1">
      <formula>100</formula>
    </cfRule>
  </conditionalFormatting>
  <conditionalFormatting sqref="G18:H18">
    <cfRule type="cellIs" priority="3" dxfId="8" operator="greaterThan" stopIfTrue="1">
      <formula>P4*0.9</formula>
    </cfRule>
  </conditionalFormatting>
  <conditionalFormatting sqref="D37:J37">
    <cfRule type="cellIs" priority="2" dxfId="9" operator="greaterThan" stopIfTrue="1">
      <formula>$J$15</formula>
    </cfRule>
  </conditionalFormatting>
  <conditionalFormatting sqref="L16">
    <cfRule type="cellIs" priority="1" dxfId="10" operator="lessThan" stopIfTrue="1">
      <formula>$E$11</formula>
    </cfRule>
  </conditionalFormatting>
  <dataValidations count="3">
    <dataValidation type="list" allowBlank="1" showInputMessage="1" showErrorMessage="1" sqref="A4:C4">
      <formula1>재질</formula1>
    </dataValidation>
    <dataValidation type="list" allowBlank="1" showInputMessage="1" showErrorMessage="1" sqref="D4">
      <formula1>사이즈</formula1>
    </dataValidation>
    <dataValidation type="list" allowBlank="1" showInputMessage="1" showErrorMessage="1" sqref="E13:F13">
      <formula1>wire</formula1>
    </dataValidation>
  </dataValidations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41" r:id="rId2"/>
  <rowBreaks count="1" manualBreakCount="1">
    <brk id="50" max="255" man="1"/>
  </rowBreaks>
  <ignoredErrors>
    <ignoredError sqref="X108:X128 O41:R41 P42:R43 O44:R48 T41:T48 J40 S65:T108 S56:T64 U108:V108 Q17:T17 P17 Q36:T36 Q37:T37 N36:P36 M37:P37 L36 L37 I32:J32 I33:J38 I39:J39 I31:J31 P15 Q15:T15" evalError="1"/>
    <ignoredError sqref="M1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pane xSplit="1" ySplit="4" topLeftCell="B5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N12" sqref="N12"/>
    </sheetView>
  </sheetViews>
  <sheetFormatPr defaultColWidth="8.88671875" defaultRowHeight="13.5"/>
  <cols>
    <col min="1" max="1" width="10.4453125" style="0" bestFit="1" customWidth="1"/>
    <col min="2" max="9" width="6.5546875" style="0" customWidth="1"/>
    <col min="10" max="10" width="9.99609375" style="0" customWidth="1"/>
    <col min="11" max="11" width="9.99609375" style="0" bestFit="1" customWidth="1"/>
    <col min="12" max="12" width="9.77734375" style="0" bestFit="1" customWidth="1"/>
    <col min="13" max="13" width="9.4453125" style="0" customWidth="1"/>
    <col min="14" max="14" width="11.10546875" style="0" customWidth="1"/>
    <col min="15" max="15" width="16.88671875" style="0" bestFit="1" customWidth="1"/>
  </cols>
  <sheetData>
    <row r="2" spans="1:15" ht="18">
      <c r="A2" s="18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3"/>
      <c r="M2" s="1"/>
      <c r="N2" s="1"/>
      <c r="O2" s="1"/>
    </row>
    <row r="3" spans="1:15" ht="13.5" customHeight="1">
      <c r="A3" s="486" t="s">
        <v>93</v>
      </c>
      <c r="B3" s="491" t="s">
        <v>72</v>
      </c>
      <c r="C3" s="491" t="s">
        <v>73</v>
      </c>
      <c r="D3" s="491" t="s">
        <v>74</v>
      </c>
      <c r="E3" s="491" t="s">
        <v>75</v>
      </c>
      <c r="F3" s="491" t="s">
        <v>76</v>
      </c>
      <c r="G3" s="491" t="s">
        <v>77</v>
      </c>
      <c r="H3" s="491" t="s">
        <v>78</v>
      </c>
      <c r="I3" s="491" t="s">
        <v>79</v>
      </c>
      <c r="J3" s="489" t="s">
        <v>1</v>
      </c>
      <c r="K3" s="495" t="s">
        <v>18</v>
      </c>
      <c r="L3" s="496" t="s">
        <v>19</v>
      </c>
      <c r="M3" s="495" t="s">
        <v>2</v>
      </c>
      <c r="N3" s="487" t="s">
        <v>21</v>
      </c>
      <c r="O3" s="493" t="s">
        <v>20</v>
      </c>
    </row>
    <row r="4" spans="1:15" ht="13.5" customHeight="1">
      <c r="A4" s="486"/>
      <c r="B4" s="492"/>
      <c r="C4" s="492"/>
      <c r="D4" s="492"/>
      <c r="E4" s="492"/>
      <c r="F4" s="492"/>
      <c r="G4" s="492"/>
      <c r="H4" s="492"/>
      <c r="I4" s="492"/>
      <c r="J4" s="490"/>
      <c r="K4" s="486"/>
      <c r="L4" s="497"/>
      <c r="M4" s="495"/>
      <c r="N4" s="488"/>
      <c r="O4" s="494"/>
    </row>
    <row r="5" spans="1:15" ht="14.25">
      <c r="A5" s="12" t="s">
        <v>80</v>
      </c>
      <c r="B5" s="12">
        <v>19.3</v>
      </c>
      <c r="C5" s="12">
        <v>8.1</v>
      </c>
      <c r="D5" s="12">
        <v>4.8</v>
      </c>
      <c r="E5" s="12">
        <v>5.5</v>
      </c>
      <c r="F5" s="12">
        <v>13.9</v>
      </c>
      <c r="G5" s="12">
        <v>4.8</v>
      </c>
      <c r="H5" s="12">
        <v>2.3</v>
      </c>
      <c r="I5" s="12">
        <v>4.7</v>
      </c>
      <c r="J5" s="13">
        <v>4.01</v>
      </c>
      <c r="K5" s="14">
        <v>0.228</v>
      </c>
      <c r="L5" s="15">
        <f>E5*I5*2*0.01</f>
        <v>0.517</v>
      </c>
      <c r="M5" s="12">
        <f>J5*K5</f>
        <v>0.91428</v>
      </c>
      <c r="N5" s="16">
        <f>(D5+G5)*2*0.1</f>
        <v>1.92</v>
      </c>
      <c r="O5" s="17">
        <f aca="true" t="shared" si="0" ref="O5:O17">((B5*2*C5*2-2*E5*I5*2*2)+2*C5*D5*2+B5*D5*2+2*E5*D5*4+I5*D5*4)*0.01</f>
        <v>10.6076</v>
      </c>
    </row>
    <row r="6" spans="1:15" ht="14.25">
      <c r="A6" s="12" t="s">
        <v>81</v>
      </c>
      <c r="B6" s="12">
        <v>25.1</v>
      </c>
      <c r="C6" s="12">
        <v>9.6</v>
      </c>
      <c r="D6" s="12">
        <v>6.5</v>
      </c>
      <c r="E6" s="12">
        <v>6.2</v>
      </c>
      <c r="F6" s="12">
        <v>18.8</v>
      </c>
      <c r="G6" s="12">
        <v>6.1</v>
      </c>
      <c r="H6" s="12">
        <v>3</v>
      </c>
      <c r="I6" s="12">
        <v>6.3</v>
      </c>
      <c r="J6" s="13">
        <v>4.85</v>
      </c>
      <c r="K6" s="14">
        <v>0.385</v>
      </c>
      <c r="L6" s="15">
        <f aca="true" t="shared" si="1" ref="L6:L17">E6*I6*2*0.01</f>
        <v>0.7812000000000001</v>
      </c>
      <c r="M6" s="12">
        <f aca="true" t="shared" si="2" ref="M6:M17">J6*K6</f>
        <v>1.8672499999999999</v>
      </c>
      <c r="N6" s="16">
        <f aca="true" t="shared" si="3" ref="N6:N17">(D6+G6)*2*0.1</f>
        <v>2.52</v>
      </c>
      <c r="O6" s="17">
        <f t="shared" si="0"/>
        <v>17.134600000000002</v>
      </c>
    </row>
    <row r="7" spans="1:15" ht="14.25">
      <c r="A7" s="12" t="s">
        <v>82</v>
      </c>
      <c r="B7" s="12">
        <v>30.1</v>
      </c>
      <c r="C7" s="12">
        <v>15</v>
      </c>
      <c r="D7" s="12">
        <v>7.1</v>
      </c>
      <c r="E7" s="12">
        <v>9.7</v>
      </c>
      <c r="F7" s="12">
        <v>19.5</v>
      </c>
      <c r="G7" s="12">
        <v>7</v>
      </c>
      <c r="H7" s="12">
        <v>5.1</v>
      </c>
      <c r="I7" s="12">
        <v>6.4</v>
      </c>
      <c r="J7" s="13">
        <v>6.56</v>
      </c>
      <c r="K7" s="14">
        <v>0.601</v>
      </c>
      <c r="L7" s="15">
        <f t="shared" si="1"/>
        <v>1.2416</v>
      </c>
      <c r="M7" s="12">
        <f t="shared" si="2"/>
        <v>3.94256</v>
      </c>
      <c r="N7" s="16">
        <f t="shared" si="3"/>
        <v>2.8200000000000003</v>
      </c>
      <c r="O7" s="17">
        <f t="shared" si="0"/>
        <v>28.955000000000002</v>
      </c>
    </row>
    <row r="8" spans="1:15" ht="14.25">
      <c r="A8" s="12" t="s">
        <v>83</v>
      </c>
      <c r="B8" s="12">
        <v>34.5</v>
      </c>
      <c r="C8" s="12">
        <v>14.1</v>
      </c>
      <c r="D8" s="12">
        <v>9.3</v>
      </c>
      <c r="E8" s="12">
        <v>9.6</v>
      </c>
      <c r="F8" s="12">
        <v>25.3</v>
      </c>
      <c r="G8" s="12">
        <v>9.3</v>
      </c>
      <c r="H8" s="12">
        <v>4.4</v>
      </c>
      <c r="I8" s="12">
        <v>7.9</v>
      </c>
      <c r="J8" s="13">
        <v>6.94</v>
      </c>
      <c r="K8" s="14">
        <v>0.84</v>
      </c>
      <c r="L8" s="15">
        <f t="shared" si="1"/>
        <v>1.5168000000000001</v>
      </c>
      <c r="M8" s="12">
        <f t="shared" si="2"/>
        <v>5.8296</v>
      </c>
      <c r="N8" s="16">
        <f t="shared" si="3"/>
        <v>3.7200000000000006</v>
      </c>
      <c r="O8" s="17">
        <f t="shared" si="0"/>
        <v>35.1342</v>
      </c>
    </row>
    <row r="9" spans="1:15" ht="14.25">
      <c r="A9" s="12" t="s">
        <v>84</v>
      </c>
      <c r="B9" s="12">
        <v>40.9</v>
      </c>
      <c r="C9" s="12">
        <v>16.5</v>
      </c>
      <c r="D9" s="12">
        <v>12.5</v>
      </c>
      <c r="E9" s="12">
        <v>10.4</v>
      </c>
      <c r="F9" s="12">
        <v>28.3</v>
      </c>
      <c r="G9" s="12">
        <v>12.5</v>
      </c>
      <c r="H9" s="12">
        <v>6</v>
      </c>
      <c r="I9" s="12">
        <v>7.9</v>
      </c>
      <c r="J9" s="13">
        <v>7.75</v>
      </c>
      <c r="K9" s="14">
        <v>1.52</v>
      </c>
      <c r="L9" s="15">
        <f t="shared" si="1"/>
        <v>1.6432000000000002</v>
      </c>
      <c r="M9" s="12">
        <f t="shared" si="2"/>
        <v>11.78</v>
      </c>
      <c r="N9" s="16">
        <f t="shared" si="3"/>
        <v>5</v>
      </c>
      <c r="O9" s="17">
        <f t="shared" si="0"/>
        <v>53.2462</v>
      </c>
    </row>
    <row r="10" spans="1:15" ht="14.25">
      <c r="A10" s="12" t="s">
        <v>85</v>
      </c>
      <c r="B10" s="12">
        <v>42.8</v>
      </c>
      <c r="C10" s="12">
        <v>21.1</v>
      </c>
      <c r="D10" s="12">
        <v>10.8</v>
      </c>
      <c r="E10" s="12">
        <v>15</v>
      </c>
      <c r="F10" s="12">
        <v>30.4</v>
      </c>
      <c r="G10" s="12">
        <v>11.7</v>
      </c>
      <c r="H10" s="12">
        <v>5.9</v>
      </c>
      <c r="I10" s="12">
        <v>9.5</v>
      </c>
      <c r="J10" s="13">
        <v>9.84</v>
      </c>
      <c r="K10" s="14">
        <v>1.28</v>
      </c>
      <c r="L10" s="15">
        <f t="shared" si="1"/>
        <v>2.85</v>
      </c>
      <c r="M10" s="12">
        <f t="shared" si="2"/>
        <v>12.5952</v>
      </c>
      <c r="N10" s="16">
        <f t="shared" si="3"/>
        <v>4.5</v>
      </c>
      <c r="O10" s="17">
        <f t="shared" si="0"/>
        <v>60.1472</v>
      </c>
    </row>
    <row r="11" spans="1:15" ht="14.25">
      <c r="A11" s="12" t="s">
        <v>86</v>
      </c>
      <c r="B11" s="12">
        <v>42.8</v>
      </c>
      <c r="C11" s="12">
        <v>21.1</v>
      </c>
      <c r="D11" s="12">
        <v>15.4</v>
      </c>
      <c r="E11" s="12">
        <v>15</v>
      </c>
      <c r="F11" s="12">
        <v>30.4</v>
      </c>
      <c r="G11" s="12">
        <v>11.7</v>
      </c>
      <c r="H11" s="12">
        <v>5.9</v>
      </c>
      <c r="I11" s="12">
        <v>9.5</v>
      </c>
      <c r="J11" s="13">
        <v>9.84</v>
      </c>
      <c r="K11" s="14">
        <v>1.83</v>
      </c>
      <c r="L11" s="15">
        <f t="shared" si="1"/>
        <v>2.85</v>
      </c>
      <c r="M11" s="12">
        <f t="shared" si="2"/>
        <v>18.0072</v>
      </c>
      <c r="N11" s="16">
        <f t="shared" si="3"/>
        <v>5.420000000000001</v>
      </c>
      <c r="O11" s="17">
        <f t="shared" si="0"/>
        <v>75.2352</v>
      </c>
    </row>
    <row r="12" spans="1:15" ht="14.25">
      <c r="A12" s="12" t="s">
        <v>87</v>
      </c>
      <c r="B12" s="12">
        <v>42.8</v>
      </c>
      <c r="C12" s="12">
        <v>21.1</v>
      </c>
      <c r="D12" s="12">
        <v>20</v>
      </c>
      <c r="E12" s="12">
        <v>15</v>
      </c>
      <c r="F12" s="12">
        <v>30.4</v>
      </c>
      <c r="G12" s="12">
        <v>11.7</v>
      </c>
      <c r="H12" s="12">
        <v>5.9</v>
      </c>
      <c r="I12" s="12">
        <v>9.5</v>
      </c>
      <c r="J12" s="13">
        <v>9.84</v>
      </c>
      <c r="K12" s="14">
        <v>2.37</v>
      </c>
      <c r="L12" s="15">
        <f t="shared" si="1"/>
        <v>2.85</v>
      </c>
      <c r="M12" s="12">
        <f t="shared" si="2"/>
        <v>23.320800000000002</v>
      </c>
      <c r="N12" s="16">
        <f t="shared" si="3"/>
        <v>6.34</v>
      </c>
      <c r="O12" s="17">
        <f t="shared" si="0"/>
        <v>90.3232</v>
      </c>
    </row>
    <row r="13" spans="1:15" ht="14.25">
      <c r="A13" s="12" t="s">
        <v>88</v>
      </c>
      <c r="B13" s="12">
        <v>54.9</v>
      </c>
      <c r="C13" s="12">
        <v>27.6</v>
      </c>
      <c r="D13" s="12">
        <v>20.6</v>
      </c>
      <c r="E13" s="12">
        <v>18.5</v>
      </c>
      <c r="F13" s="12">
        <v>37.5</v>
      </c>
      <c r="G13" s="12">
        <v>16.8</v>
      </c>
      <c r="H13" s="12">
        <v>8.4</v>
      </c>
      <c r="I13" s="12">
        <v>10.3</v>
      </c>
      <c r="J13" s="13">
        <v>12.3</v>
      </c>
      <c r="K13" s="14">
        <v>3.5</v>
      </c>
      <c r="L13" s="15">
        <f t="shared" si="1"/>
        <v>3.8110000000000004</v>
      </c>
      <c r="M13" s="12">
        <f t="shared" si="2"/>
        <v>43.050000000000004</v>
      </c>
      <c r="N13" s="16">
        <f t="shared" si="3"/>
        <v>7.480000000000001</v>
      </c>
      <c r="O13" s="17">
        <f t="shared" si="0"/>
        <v>129.702</v>
      </c>
    </row>
    <row r="14" spans="1:15" ht="14.25">
      <c r="A14" s="12" t="s">
        <v>89</v>
      </c>
      <c r="B14" s="12">
        <v>54.9</v>
      </c>
      <c r="C14" s="12">
        <v>27.6</v>
      </c>
      <c r="D14" s="12">
        <v>24.6</v>
      </c>
      <c r="E14" s="12">
        <v>18.5</v>
      </c>
      <c r="F14" s="12">
        <v>37.5</v>
      </c>
      <c r="G14" s="12">
        <v>16.8</v>
      </c>
      <c r="H14" s="12">
        <v>8.4</v>
      </c>
      <c r="I14" s="12">
        <v>10.3</v>
      </c>
      <c r="J14" s="13">
        <v>12.3</v>
      </c>
      <c r="K14" s="14">
        <v>4.17</v>
      </c>
      <c r="L14" s="15">
        <f t="shared" si="1"/>
        <v>3.8110000000000004</v>
      </c>
      <c r="M14" s="12">
        <f t="shared" si="2"/>
        <v>51.291000000000004</v>
      </c>
      <c r="N14" s="16">
        <f t="shared" si="3"/>
        <v>8.280000000000001</v>
      </c>
      <c r="O14" s="17">
        <f>((B14*2*C14*2-2*E14*I14*2*2)+2*C14*D14*2+B14*D14*2+2*E14*D14*4+I14*D14*4)*0.01</f>
        <v>146.078</v>
      </c>
    </row>
    <row r="15" spans="1:15" ht="14.25">
      <c r="A15" s="12" t="s">
        <v>90</v>
      </c>
      <c r="B15" s="12">
        <v>65.1</v>
      </c>
      <c r="C15" s="12">
        <v>32.5</v>
      </c>
      <c r="D15" s="12">
        <v>27</v>
      </c>
      <c r="E15" s="12">
        <v>22.2</v>
      </c>
      <c r="F15" s="12">
        <v>44.2</v>
      </c>
      <c r="G15" s="12">
        <v>19.7</v>
      </c>
      <c r="H15" s="12">
        <v>10</v>
      </c>
      <c r="I15" s="12">
        <v>12.1</v>
      </c>
      <c r="J15" s="13">
        <v>14.7</v>
      </c>
      <c r="K15" s="14">
        <v>5.4</v>
      </c>
      <c r="L15" s="15">
        <f t="shared" si="1"/>
        <v>5.3724</v>
      </c>
      <c r="M15" s="12">
        <f t="shared" si="2"/>
        <v>79.38</v>
      </c>
      <c r="N15" s="16">
        <f t="shared" si="3"/>
        <v>9.340000000000002</v>
      </c>
      <c r="O15" s="17">
        <f t="shared" si="0"/>
        <v>194.4144</v>
      </c>
    </row>
    <row r="16" spans="1:15" ht="14.25">
      <c r="A16" s="12" t="s">
        <v>91</v>
      </c>
      <c r="B16" s="12">
        <v>72.4</v>
      </c>
      <c r="C16" s="12">
        <v>27.9</v>
      </c>
      <c r="D16" s="12">
        <v>19</v>
      </c>
      <c r="E16" s="12">
        <v>17.8</v>
      </c>
      <c r="F16" s="12">
        <v>52.6</v>
      </c>
      <c r="G16" s="12">
        <v>19.1</v>
      </c>
      <c r="H16" s="12">
        <v>9.5</v>
      </c>
      <c r="I16" s="12">
        <v>16.9</v>
      </c>
      <c r="J16" s="13">
        <v>13.7</v>
      </c>
      <c r="K16" s="14">
        <v>3.68</v>
      </c>
      <c r="L16" s="15">
        <f t="shared" si="1"/>
        <v>6.0164</v>
      </c>
      <c r="M16" s="12">
        <f t="shared" si="2"/>
        <v>50.416</v>
      </c>
      <c r="N16" s="16">
        <f t="shared" si="3"/>
        <v>7.620000000000001</v>
      </c>
      <c r="O16" s="17">
        <f t="shared" si="0"/>
        <v>145.3488</v>
      </c>
    </row>
    <row r="17" spans="1:15" ht="14.25">
      <c r="A17" s="12" t="s">
        <v>92</v>
      </c>
      <c r="B17" s="12">
        <v>80</v>
      </c>
      <c r="C17" s="12">
        <v>38.1</v>
      </c>
      <c r="D17" s="12">
        <v>19.8</v>
      </c>
      <c r="E17" s="12">
        <v>28.1</v>
      </c>
      <c r="F17" s="12">
        <v>59.3</v>
      </c>
      <c r="G17" s="12">
        <v>19.8</v>
      </c>
      <c r="H17" s="12">
        <v>9.9</v>
      </c>
      <c r="I17" s="12">
        <v>19.8</v>
      </c>
      <c r="J17" s="13">
        <v>18.5</v>
      </c>
      <c r="K17" s="14">
        <v>3.89</v>
      </c>
      <c r="L17" s="15">
        <f t="shared" si="1"/>
        <v>11.1276</v>
      </c>
      <c r="M17" s="12">
        <f t="shared" si="2"/>
        <v>71.965</v>
      </c>
      <c r="N17" s="16">
        <f t="shared" si="3"/>
        <v>7.920000000000001</v>
      </c>
      <c r="O17" s="17">
        <f t="shared" si="0"/>
        <v>199.45680000000002</v>
      </c>
    </row>
    <row r="18" spans="1:15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</sheetData>
  <sheetProtection/>
  <mergeCells count="15">
    <mergeCell ref="F3:F4"/>
    <mergeCell ref="G3:G4"/>
    <mergeCell ref="K3:K4"/>
    <mergeCell ref="L3:L4"/>
    <mergeCell ref="M3:M4"/>
    <mergeCell ref="A3:A4"/>
    <mergeCell ref="N3:N4"/>
    <mergeCell ref="J3:J4"/>
    <mergeCell ref="H3:H4"/>
    <mergeCell ref="I3:I4"/>
    <mergeCell ref="O3:O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2"/>
  <ignoredErrors>
    <ignoredError sqref="A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D1">
      <selection activeCell="J20" sqref="J20"/>
    </sheetView>
  </sheetViews>
  <sheetFormatPr defaultColWidth="8.88671875" defaultRowHeight="13.5"/>
  <cols>
    <col min="1" max="1" width="1.33203125" style="0" customWidth="1"/>
    <col min="2" max="2" width="3.4453125" style="0" customWidth="1"/>
    <col min="3" max="3" width="8.77734375" style="0" customWidth="1"/>
    <col min="4" max="4" width="7.10546875" style="0" customWidth="1"/>
    <col min="7" max="8" width="9.88671875" style="0" bestFit="1" customWidth="1"/>
    <col min="9" max="11" width="9.88671875" style="0" customWidth="1"/>
    <col min="12" max="12" width="1.66796875" style="0" customWidth="1"/>
    <col min="13" max="13" width="11.4453125" style="0" customWidth="1"/>
    <col min="18" max="18" width="9.21484375" style="0" customWidth="1"/>
  </cols>
  <sheetData>
    <row r="1" spans="3:14" ht="32.25" customHeight="1">
      <c r="C1" s="5" t="s">
        <v>4</v>
      </c>
      <c r="D1" s="5"/>
      <c r="N1" s="5" t="s">
        <v>5</v>
      </c>
    </row>
    <row r="2" spans="3:14" ht="32.25" customHeight="1">
      <c r="C2" s="5"/>
      <c r="D2" s="5"/>
      <c r="N2" s="5"/>
    </row>
    <row r="3" spans="3:18" ht="18.75" customHeight="1" thickBot="1">
      <c r="C3" s="4" t="s">
        <v>3</v>
      </c>
      <c r="D3" s="4" t="s">
        <v>10</v>
      </c>
      <c r="E3" s="6" t="s">
        <v>6</v>
      </c>
      <c r="F3" s="6" t="s">
        <v>7</v>
      </c>
      <c r="G3" s="6" t="s">
        <v>8</v>
      </c>
      <c r="H3" s="6" t="s">
        <v>9</v>
      </c>
      <c r="I3" s="20"/>
      <c r="J3" s="20"/>
      <c r="K3" s="20"/>
      <c r="M3" s="185" t="s">
        <v>3</v>
      </c>
      <c r="N3" s="186" t="s">
        <v>6</v>
      </c>
      <c r="O3" s="186" t="s">
        <v>7</v>
      </c>
      <c r="P3" s="186" t="s">
        <v>8</v>
      </c>
      <c r="Q3" s="186" t="s">
        <v>9</v>
      </c>
      <c r="R3" s="186" t="s">
        <v>109</v>
      </c>
    </row>
    <row r="4" spans="1:18" ht="14.25">
      <c r="A4" s="19" t="str">
        <f aca="true" t="shared" si="0" ref="A4:A17">C4&amp;D4</f>
        <v>ES(Sendust)1</v>
      </c>
      <c r="B4" s="19" t="str">
        <f aca="true" t="shared" si="1" ref="B4:B17">C4&amp;E4</f>
        <v>ES(Sendust)026</v>
      </c>
      <c r="C4" s="199" t="s">
        <v>94</v>
      </c>
      <c r="D4" s="4">
        <v>1</v>
      </c>
      <c r="E4" s="201" t="s">
        <v>114</v>
      </c>
      <c r="F4" s="10">
        <v>0.03872</v>
      </c>
      <c r="G4" s="200">
        <v>4.16401E-06</v>
      </c>
      <c r="H4" s="10">
        <v>2.7087</v>
      </c>
      <c r="I4" s="21"/>
      <c r="J4" s="21"/>
      <c r="K4" s="21"/>
      <c r="L4" s="9"/>
      <c r="M4" s="189" t="s">
        <v>94</v>
      </c>
      <c r="N4" s="190" t="s">
        <v>113</v>
      </c>
      <c r="O4" s="169">
        <v>2.048</v>
      </c>
      <c r="P4" s="169">
        <v>4.245</v>
      </c>
      <c r="Q4" s="182">
        <v>0.0215</v>
      </c>
      <c r="R4" s="170">
        <v>1.99</v>
      </c>
    </row>
    <row r="5" spans="1:18" ht="14.25">
      <c r="A5" s="19" t="str">
        <f t="shared" si="0"/>
        <v>ES(Sendust)2</v>
      </c>
      <c r="B5" s="19" t="str">
        <f t="shared" si="1"/>
        <v>ES(Sendust)040</v>
      </c>
      <c r="C5" s="199" t="str">
        <f aca="true" t="shared" si="2" ref="C5:C17">C4</f>
        <v>ES(Sendust)</v>
      </c>
      <c r="D5" s="4">
        <v>2</v>
      </c>
      <c r="E5" s="201" t="s">
        <v>116</v>
      </c>
      <c r="F5" s="10">
        <v>0.01685</v>
      </c>
      <c r="G5" s="200">
        <v>4.69762E-06</v>
      </c>
      <c r="H5" s="10">
        <v>2.79675</v>
      </c>
      <c r="I5" s="21"/>
      <c r="J5" s="21"/>
      <c r="K5" s="21"/>
      <c r="L5" s="9"/>
      <c r="M5" s="191" t="str">
        <f aca="true" t="shared" si="3" ref="M5:M10">M4</f>
        <v>ES(Sendust)</v>
      </c>
      <c r="N5" s="6" t="s">
        <v>115</v>
      </c>
      <c r="O5" s="167">
        <v>2.128</v>
      </c>
      <c r="P5" s="167">
        <v>4.382</v>
      </c>
      <c r="Q5" s="183">
        <v>0.023</v>
      </c>
      <c r="R5" s="171">
        <v>1.979</v>
      </c>
    </row>
    <row r="6" spans="1:18" ht="15" thickBot="1">
      <c r="A6" s="19" t="str">
        <f t="shared" si="0"/>
        <v>ES(Sendust)3</v>
      </c>
      <c r="B6" s="19" t="str">
        <f t="shared" si="1"/>
        <v>ES(Sendust)060</v>
      </c>
      <c r="C6" s="199" t="str">
        <f t="shared" si="2"/>
        <v>ES(Sendust)</v>
      </c>
      <c r="D6" s="4">
        <v>3</v>
      </c>
      <c r="E6" s="201" t="s">
        <v>118</v>
      </c>
      <c r="F6" s="10">
        <v>0.01355</v>
      </c>
      <c r="G6" s="200">
        <v>6.19011E-06</v>
      </c>
      <c r="H6" s="10">
        <v>2.75808</v>
      </c>
      <c r="I6" s="21"/>
      <c r="J6" s="21"/>
      <c r="K6" s="21"/>
      <c r="L6" s="9"/>
      <c r="M6" s="192" t="str">
        <f t="shared" si="3"/>
        <v>ES(Sendust)</v>
      </c>
      <c r="N6" s="193" t="s">
        <v>117</v>
      </c>
      <c r="O6" s="172">
        <v>2.207</v>
      </c>
      <c r="P6" s="172">
        <v>4.518</v>
      </c>
      <c r="Q6" s="184">
        <v>0.0244</v>
      </c>
      <c r="R6" s="173">
        <v>1.967</v>
      </c>
    </row>
    <row r="7" spans="1:18" ht="14.25">
      <c r="A7" s="19" t="str">
        <f t="shared" si="0"/>
        <v>ES(Sendust)4</v>
      </c>
      <c r="B7" s="19" t="str">
        <f t="shared" si="1"/>
        <v>ES(Sendust)090</v>
      </c>
      <c r="C7" s="199" t="str">
        <f t="shared" si="2"/>
        <v>ES(Sendust)</v>
      </c>
      <c r="D7" s="4">
        <v>4</v>
      </c>
      <c r="E7" s="201" t="s">
        <v>120</v>
      </c>
      <c r="F7" s="10">
        <v>0.01128</v>
      </c>
      <c r="G7" s="200">
        <v>9.07261E-06</v>
      </c>
      <c r="H7" s="10">
        <v>2.73865</v>
      </c>
      <c r="I7" s="21"/>
      <c r="J7" s="21"/>
      <c r="K7" s="21"/>
      <c r="L7" s="9"/>
      <c r="M7" s="24" t="str">
        <f t="shared" si="3"/>
        <v>ES(Sendust)</v>
      </c>
      <c r="N7" s="187" t="s">
        <v>119</v>
      </c>
      <c r="O7" s="188">
        <v>2.207</v>
      </c>
      <c r="P7" s="188">
        <v>4.518</v>
      </c>
      <c r="Q7" s="209">
        <v>0.0244</v>
      </c>
      <c r="R7" s="188">
        <v>1.967</v>
      </c>
    </row>
    <row r="8" spans="1:18" ht="14.25">
      <c r="A8" s="19" t="str">
        <f t="shared" si="0"/>
        <v>ES(Sendust)5</v>
      </c>
      <c r="B8" s="19" t="str">
        <f t="shared" si="1"/>
        <v>ES(Sendust)</v>
      </c>
      <c r="C8" s="199" t="str">
        <f t="shared" si="2"/>
        <v>ES(Sendust)</v>
      </c>
      <c r="D8" s="4">
        <v>5</v>
      </c>
      <c r="E8" s="201"/>
      <c r="F8" s="10"/>
      <c r="G8" s="200"/>
      <c r="H8" s="10"/>
      <c r="I8" s="21"/>
      <c r="J8" s="21"/>
      <c r="K8" s="21"/>
      <c r="L8" s="9"/>
      <c r="M8" s="24" t="str">
        <f t="shared" si="3"/>
        <v>ES(Sendust)</v>
      </c>
      <c r="N8" s="6"/>
      <c r="O8" s="167"/>
      <c r="P8" s="167"/>
      <c r="Q8" s="167"/>
      <c r="R8" s="167"/>
    </row>
    <row r="9" spans="1:18" ht="14.25">
      <c r="A9" s="19" t="str">
        <f t="shared" si="0"/>
        <v>ES(Sendust)6</v>
      </c>
      <c r="B9" s="19" t="str">
        <f t="shared" si="1"/>
        <v>ES(Sendust)</v>
      </c>
      <c r="C9" s="199" t="str">
        <f t="shared" si="2"/>
        <v>ES(Sendust)</v>
      </c>
      <c r="D9" s="4">
        <v>6</v>
      </c>
      <c r="E9" s="201"/>
      <c r="F9" s="7"/>
      <c r="G9" s="8"/>
      <c r="H9" s="8"/>
      <c r="I9" s="22"/>
      <c r="J9" s="22"/>
      <c r="K9" s="22"/>
      <c r="L9" s="9"/>
      <c r="M9" s="24" t="str">
        <f t="shared" si="3"/>
        <v>ES(Sendust)</v>
      </c>
      <c r="N9" s="6"/>
      <c r="O9" s="167"/>
      <c r="P9" s="167"/>
      <c r="Q9" s="167"/>
      <c r="R9" s="167"/>
    </row>
    <row r="10" spans="1:18" ht="15" thickBot="1">
      <c r="A10" s="19" t="str">
        <f t="shared" si="0"/>
        <v>ES(Sendust)7</v>
      </c>
      <c r="B10" s="19" t="str">
        <f t="shared" si="1"/>
        <v>ES(Sendust)</v>
      </c>
      <c r="C10" s="199" t="str">
        <f t="shared" si="2"/>
        <v>ES(Sendust)</v>
      </c>
      <c r="D10" s="4">
        <v>7</v>
      </c>
      <c r="E10" s="201"/>
      <c r="F10" s="7"/>
      <c r="G10" s="8"/>
      <c r="H10" s="8"/>
      <c r="I10" s="22"/>
      <c r="J10" s="22"/>
      <c r="K10" s="22"/>
      <c r="L10" s="9"/>
      <c r="M10" s="24" t="str">
        <f t="shared" si="3"/>
        <v>ES(Sendust)</v>
      </c>
      <c r="N10" s="194"/>
      <c r="O10" s="195"/>
      <c r="P10" s="195"/>
      <c r="Q10" s="195"/>
      <c r="R10" s="195"/>
    </row>
    <row r="11" spans="1:18" ht="14.25">
      <c r="A11" s="19" t="str">
        <f t="shared" si="0"/>
        <v>EK(MegaFlux)1</v>
      </c>
      <c r="B11" s="19" t="str">
        <f t="shared" si="1"/>
        <v>EK(MegaFlux)026</v>
      </c>
      <c r="C11" s="199" t="s">
        <v>95</v>
      </c>
      <c r="D11" s="4">
        <v>1</v>
      </c>
      <c r="E11" s="201" t="s">
        <v>114</v>
      </c>
      <c r="F11" s="200">
        <v>0.03868</v>
      </c>
      <c r="G11" s="200">
        <v>2.8667E-07</v>
      </c>
      <c r="H11" s="10">
        <v>2.93141</v>
      </c>
      <c r="I11" s="21"/>
      <c r="J11" s="21"/>
      <c r="K11" s="21"/>
      <c r="L11" s="9"/>
      <c r="M11" s="196" t="s">
        <v>95</v>
      </c>
      <c r="N11" s="190" t="s">
        <v>113</v>
      </c>
      <c r="O11" s="169">
        <v>2.166</v>
      </c>
      <c r="P11" s="169">
        <v>9.918</v>
      </c>
      <c r="Q11" s="182">
        <v>0.0519</v>
      </c>
      <c r="R11" s="170">
        <v>2.061</v>
      </c>
    </row>
    <row r="12" spans="1:18" ht="14.25">
      <c r="A12" s="19" t="str">
        <f t="shared" si="0"/>
        <v>EK(MegaFlux)2</v>
      </c>
      <c r="B12" s="19" t="str">
        <f t="shared" si="1"/>
        <v>EK(MegaFlux)040</v>
      </c>
      <c r="C12" s="199" t="str">
        <f t="shared" si="2"/>
        <v>EK(MegaFlux)</v>
      </c>
      <c r="D12" s="4">
        <v>2</v>
      </c>
      <c r="E12" s="201" t="s">
        <v>116</v>
      </c>
      <c r="F12" s="200">
        <v>0.0201</v>
      </c>
      <c r="G12" s="200">
        <v>1.60542E-07</v>
      </c>
      <c r="H12" s="10">
        <v>3.13248</v>
      </c>
      <c r="I12" s="21"/>
      <c r="J12" s="21"/>
      <c r="K12" s="21"/>
      <c r="L12" s="9"/>
      <c r="M12" s="197" t="str">
        <f aca="true" t="shared" si="4" ref="M12:M17">M11</f>
        <v>EK(MegaFlux)</v>
      </c>
      <c r="N12" s="6" t="s">
        <v>115</v>
      </c>
      <c r="O12" s="167">
        <v>2.156</v>
      </c>
      <c r="P12" s="167">
        <v>9.396</v>
      </c>
      <c r="Q12" s="183">
        <v>0.0576</v>
      </c>
      <c r="R12" s="171">
        <v>2.021</v>
      </c>
    </row>
    <row r="13" spans="1:18" ht="15" thickBot="1">
      <c r="A13" s="19" t="str">
        <f t="shared" si="0"/>
        <v>EK(MegaFlux)3</v>
      </c>
      <c r="B13" s="19" t="str">
        <f t="shared" si="1"/>
        <v>EK(MegaFlux)060</v>
      </c>
      <c r="C13" s="199" t="str">
        <f t="shared" si="2"/>
        <v>EK(MegaFlux)</v>
      </c>
      <c r="D13" s="4">
        <v>3</v>
      </c>
      <c r="E13" s="201" t="s">
        <v>118</v>
      </c>
      <c r="F13" s="10">
        <v>0.0167</v>
      </c>
      <c r="G13" s="200">
        <v>2.81422E-07</v>
      </c>
      <c r="H13" s="10">
        <v>3.10543</v>
      </c>
      <c r="I13" s="21"/>
      <c r="J13" s="21"/>
      <c r="K13" s="21"/>
      <c r="L13" s="9"/>
      <c r="M13" s="198" t="str">
        <f t="shared" si="4"/>
        <v>EK(MegaFlux)</v>
      </c>
      <c r="N13" s="193" t="s">
        <v>117</v>
      </c>
      <c r="O13" s="172">
        <v>2.145</v>
      </c>
      <c r="P13" s="172">
        <v>8.874</v>
      </c>
      <c r="Q13" s="184">
        <v>0.0632</v>
      </c>
      <c r="R13" s="173">
        <v>1.98</v>
      </c>
    </row>
    <row r="14" spans="1:18" ht="14.25">
      <c r="A14" s="19" t="str">
        <f t="shared" si="0"/>
        <v>EK(MegaFlux)4</v>
      </c>
      <c r="B14" s="19" t="str">
        <f t="shared" si="1"/>
        <v>EK(MegaFlux)</v>
      </c>
      <c r="C14" s="199" t="str">
        <f t="shared" si="2"/>
        <v>EK(MegaFlux)</v>
      </c>
      <c r="D14" s="4">
        <v>4</v>
      </c>
      <c r="E14" s="201"/>
      <c r="F14" s="10"/>
      <c r="G14" s="200"/>
      <c r="H14" s="10"/>
      <c r="I14" s="21"/>
      <c r="J14" s="21"/>
      <c r="K14" s="21"/>
      <c r="L14" s="9"/>
      <c r="M14" s="24" t="str">
        <f t="shared" si="4"/>
        <v>EK(MegaFlux)</v>
      </c>
      <c r="N14" s="187"/>
      <c r="O14" s="188"/>
      <c r="P14" s="188"/>
      <c r="Q14" s="188"/>
      <c r="R14" s="188"/>
    </row>
    <row r="15" spans="1:18" ht="14.25">
      <c r="A15" s="19" t="str">
        <f t="shared" si="0"/>
        <v>EK(MegaFlux)5</v>
      </c>
      <c r="B15" s="19" t="str">
        <f t="shared" si="1"/>
        <v>EK(MegaFlux)</v>
      </c>
      <c r="C15" s="199" t="str">
        <f t="shared" si="2"/>
        <v>EK(MegaFlux)</v>
      </c>
      <c r="D15" s="4">
        <v>5</v>
      </c>
      <c r="E15" s="201"/>
      <c r="F15" s="10"/>
      <c r="G15" s="200"/>
      <c r="H15" s="10"/>
      <c r="I15" s="21"/>
      <c r="J15" s="21"/>
      <c r="K15" s="21"/>
      <c r="L15" s="9"/>
      <c r="M15" s="24" t="str">
        <f t="shared" si="4"/>
        <v>EK(MegaFlux)</v>
      </c>
      <c r="N15" s="6"/>
      <c r="O15" s="167"/>
      <c r="P15" s="167"/>
      <c r="Q15" s="167"/>
      <c r="R15" s="167"/>
    </row>
    <row r="16" spans="1:18" ht="14.25">
      <c r="A16" s="19" t="str">
        <f t="shared" si="0"/>
        <v>EK(MegaFlux)6</v>
      </c>
      <c r="B16" s="19" t="str">
        <f t="shared" si="1"/>
        <v>EK(MegaFlux)</v>
      </c>
      <c r="C16" s="199" t="str">
        <f t="shared" si="2"/>
        <v>EK(MegaFlux)</v>
      </c>
      <c r="D16" s="4">
        <v>6</v>
      </c>
      <c r="E16" s="201"/>
      <c r="F16" s="7"/>
      <c r="G16" s="8"/>
      <c r="H16" s="8"/>
      <c r="I16" s="22"/>
      <c r="J16" s="22"/>
      <c r="K16" s="22"/>
      <c r="L16" s="9"/>
      <c r="M16" s="24" t="str">
        <f t="shared" si="4"/>
        <v>EK(MegaFlux)</v>
      </c>
      <c r="N16" s="6"/>
      <c r="O16" s="167"/>
      <c r="P16" s="167"/>
      <c r="Q16" s="167"/>
      <c r="R16" s="167"/>
    </row>
    <row r="17" spans="1:18" ht="14.25">
      <c r="A17" s="19" t="str">
        <f t="shared" si="0"/>
        <v>EK(MegaFlux)7</v>
      </c>
      <c r="B17" s="19" t="str">
        <f t="shared" si="1"/>
        <v>EK(MegaFlux)</v>
      </c>
      <c r="C17" s="199" t="str">
        <f t="shared" si="2"/>
        <v>EK(MegaFlux)</v>
      </c>
      <c r="D17" s="4">
        <v>7</v>
      </c>
      <c r="E17" s="201"/>
      <c r="F17" s="7"/>
      <c r="G17" s="8"/>
      <c r="H17" s="8"/>
      <c r="I17" s="22"/>
      <c r="J17" s="22"/>
      <c r="K17" s="22"/>
      <c r="L17" s="9"/>
      <c r="M17" s="24" t="str">
        <f t="shared" si="4"/>
        <v>EK(MegaFlux)</v>
      </c>
      <c r="N17" s="6"/>
      <c r="O17" s="167"/>
      <c r="P17" s="167"/>
      <c r="Q17" s="167"/>
      <c r="R17" s="167"/>
    </row>
    <row r="25" ht="13.5">
      <c r="H25" s="23"/>
    </row>
    <row r="26" ht="13.5">
      <c r="P26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3"/>
  <sheetViews>
    <sheetView zoomScalePageLayoutView="0" workbookViewId="0" topLeftCell="A67">
      <selection activeCell="J93" sqref="J93"/>
    </sheetView>
  </sheetViews>
  <sheetFormatPr defaultColWidth="6.21484375" defaultRowHeight="18.75" customHeight="1"/>
  <cols>
    <col min="1" max="1" width="6.21484375" style="25" customWidth="1"/>
    <col min="2" max="2" width="14.6640625" style="26" customWidth="1"/>
    <col min="3" max="3" width="7.5546875" style="25" bestFit="1" customWidth="1"/>
    <col min="4" max="4" width="11.10546875" style="25" bestFit="1" customWidth="1"/>
    <col min="5" max="5" width="7.5546875" style="25" bestFit="1" customWidth="1"/>
    <col min="6" max="7" width="8.99609375" style="25" bestFit="1" customWidth="1"/>
    <col min="8" max="8" width="6.3359375" style="25" bestFit="1" customWidth="1"/>
    <col min="9" max="9" width="6.3359375" style="25" customWidth="1"/>
    <col min="10" max="11" width="6.21484375" style="25" customWidth="1"/>
    <col min="12" max="12" width="9.10546875" style="25" bestFit="1" customWidth="1"/>
    <col min="13" max="16384" width="6.21484375" style="25" customWidth="1"/>
  </cols>
  <sheetData>
    <row r="1" spans="3:13" ht="18.75" customHeight="1" thickBot="1">
      <c r="C1" s="25" t="s">
        <v>47</v>
      </c>
      <c r="D1" s="25" t="s">
        <v>48</v>
      </c>
      <c r="E1" s="25" t="s">
        <v>46</v>
      </c>
      <c r="F1" s="25" t="s">
        <v>50</v>
      </c>
      <c r="G1" s="25" t="s">
        <v>51</v>
      </c>
      <c r="H1" s="25" t="s">
        <v>49</v>
      </c>
      <c r="I1" s="25" t="s">
        <v>7</v>
      </c>
      <c r="J1" s="25" t="s">
        <v>8</v>
      </c>
      <c r="K1" s="25" t="s">
        <v>9</v>
      </c>
      <c r="L1" s="27" t="s">
        <v>46</v>
      </c>
      <c r="M1" s="252" t="s">
        <v>215</v>
      </c>
    </row>
    <row r="2" spans="1:15" ht="18.75" customHeight="1" thickTop="1">
      <c r="A2" s="248" t="str">
        <f>E2&amp;F2&amp;C2</f>
        <v>ES(Sendust)1908A1</v>
      </c>
      <c r="B2" s="28" t="str">
        <f>E2&amp;F2&amp;G2</f>
        <v>ES(Sendust)1908A026</v>
      </c>
      <c r="C2" s="25">
        <v>1</v>
      </c>
      <c r="D2" s="25" t="s">
        <v>121</v>
      </c>
      <c r="E2" s="25" t="s">
        <v>94</v>
      </c>
      <c r="F2" s="25" t="str">
        <f>MID(D2,3,5)</f>
        <v>1908A</v>
      </c>
      <c r="G2" s="25" t="str">
        <f>MID(D2,8,3)</f>
        <v>026</v>
      </c>
      <c r="H2" s="25">
        <v>26</v>
      </c>
      <c r="I2" s="25">
        <v>0.028</v>
      </c>
      <c r="J2" s="157">
        <v>4.29065E-06</v>
      </c>
      <c r="K2" s="25">
        <v>2.64517</v>
      </c>
      <c r="L2" s="10" t="s">
        <v>94</v>
      </c>
      <c r="M2" s="25" t="s">
        <v>216</v>
      </c>
      <c r="N2" s="25">
        <v>1.7</v>
      </c>
      <c r="O2" s="25">
        <v>8.96</v>
      </c>
    </row>
    <row r="3" spans="1:15" ht="18.75" customHeight="1">
      <c r="A3" s="248" t="str">
        <f aca="true" t="shared" si="0" ref="A3:A66">E3&amp;F3&amp;C3</f>
        <v>ES(Sendust)1908A2</v>
      </c>
      <c r="B3" s="28" t="str">
        <f aca="true" t="shared" si="1" ref="B3:B50">E3&amp;F3&amp;G3</f>
        <v>ES(Sendust)1908A040</v>
      </c>
      <c r="C3" s="25">
        <v>2</v>
      </c>
      <c r="D3" s="25" t="s">
        <v>122</v>
      </c>
      <c r="E3" s="25" t="s">
        <v>94</v>
      </c>
      <c r="F3" s="25" t="str">
        <f aca="true" t="shared" si="2" ref="F3:F50">MID(D3,3,5)</f>
        <v>1908A</v>
      </c>
      <c r="G3" s="25" t="str">
        <f aca="true" t="shared" si="3" ref="G3:G50">MID(D3,8,3)</f>
        <v>040</v>
      </c>
      <c r="H3" s="25">
        <v>35</v>
      </c>
      <c r="I3" s="25">
        <v>0.02057</v>
      </c>
      <c r="J3" s="157">
        <v>7.81887E-06</v>
      </c>
      <c r="K3" s="25">
        <v>2.58393</v>
      </c>
      <c r="L3" s="10" t="s">
        <v>95</v>
      </c>
      <c r="M3" s="25" t="s">
        <v>217</v>
      </c>
      <c r="N3" s="25">
        <v>2.82</v>
      </c>
      <c r="O3" s="25">
        <v>2.7</v>
      </c>
    </row>
    <row r="4" spans="1:12" ht="18.75" customHeight="1">
      <c r="A4" s="248" t="str">
        <f t="shared" si="0"/>
        <v>ES(Sendust)1908A3</v>
      </c>
      <c r="B4" s="28" t="str">
        <f t="shared" si="1"/>
        <v>ES(Sendust)1908A060</v>
      </c>
      <c r="C4" s="25">
        <v>3</v>
      </c>
      <c r="D4" s="25" t="s">
        <v>123</v>
      </c>
      <c r="E4" s="25" t="s">
        <v>94</v>
      </c>
      <c r="F4" s="25" t="str">
        <f t="shared" si="2"/>
        <v>1908A</v>
      </c>
      <c r="G4" s="25" t="str">
        <f t="shared" si="3"/>
        <v>060</v>
      </c>
      <c r="H4" s="25">
        <v>48</v>
      </c>
      <c r="I4" s="25">
        <v>0.01521</v>
      </c>
      <c r="J4" s="157">
        <v>4.37958E-06</v>
      </c>
      <c r="K4" s="25">
        <v>2.75758</v>
      </c>
      <c r="L4" s="10"/>
    </row>
    <row r="5" spans="1:12" ht="18.75" customHeight="1">
      <c r="A5" s="248" t="str">
        <f t="shared" si="0"/>
        <v>ES(Sendust)1908A4</v>
      </c>
      <c r="B5" s="28" t="str">
        <f t="shared" si="1"/>
        <v>ES(Sendust)1908A090</v>
      </c>
      <c r="C5" s="25">
        <v>4</v>
      </c>
      <c r="D5" s="25" t="s">
        <v>124</v>
      </c>
      <c r="E5" s="25" t="s">
        <v>94</v>
      </c>
      <c r="F5" s="25" t="str">
        <f t="shared" si="2"/>
        <v>1908A</v>
      </c>
      <c r="G5" s="25" t="str">
        <f t="shared" si="3"/>
        <v>090</v>
      </c>
      <c r="H5" s="25">
        <v>69</v>
      </c>
      <c r="I5" s="25">
        <v>0.0104</v>
      </c>
      <c r="J5" s="157">
        <v>1.67498E-05</v>
      </c>
      <c r="K5" s="25">
        <v>2.51692</v>
      </c>
      <c r="L5" s="10"/>
    </row>
    <row r="6" spans="1:14" ht="18.75" customHeight="1">
      <c r="A6" s="248" t="str">
        <f t="shared" si="0"/>
        <v>ES(Sendust)2510A1</v>
      </c>
      <c r="B6" s="28" t="str">
        <f t="shared" si="1"/>
        <v>ES(Sendust)2510A026</v>
      </c>
      <c r="C6" s="25">
        <v>1</v>
      </c>
      <c r="D6" s="25" t="s">
        <v>125</v>
      </c>
      <c r="E6" s="25" t="s">
        <v>94</v>
      </c>
      <c r="F6" s="25" t="str">
        <f t="shared" si="2"/>
        <v>2510A</v>
      </c>
      <c r="G6" s="25" t="str">
        <f t="shared" si="3"/>
        <v>026</v>
      </c>
      <c r="H6" s="25">
        <v>39</v>
      </c>
      <c r="I6" s="157">
        <v>0.02585</v>
      </c>
      <c r="J6" s="157">
        <v>3.9606E-06</v>
      </c>
      <c r="K6" s="25">
        <v>2.64517</v>
      </c>
      <c r="N6" s="157"/>
    </row>
    <row r="7" spans="1:14" ht="18.75" customHeight="1">
      <c r="A7" s="248" t="str">
        <f t="shared" si="0"/>
        <v>ES(Sendust)2510A2</v>
      </c>
      <c r="B7" s="28" t="str">
        <f t="shared" si="1"/>
        <v>ES(Sendust)2510A040</v>
      </c>
      <c r="C7" s="25">
        <v>2</v>
      </c>
      <c r="D7" s="25" t="s">
        <v>126</v>
      </c>
      <c r="E7" s="25" t="s">
        <v>94</v>
      </c>
      <c r="F7" s="25" t="str">
        <f t="shared" si="2"/>
        <v>2510A</v>
      </c>
      <c r="G7" s="25" t="str">
        <f t="shared" si="3"/>
        <v>040</v>
      </c>
      <c r="H7" s="25">
        <v>52</v>
      </c>
      <c r="I7" s="157">
        <v>0.01938</v>
      </c>
      <c r="J7" s="157">
        <v>7.36778E-06</v>
      </c>
      <c r="K7" s="25">
        <v>2.58393</v>
      </c>
      <c r="N7" s="157"/>
    </row>
    <row r="8" spans="1:11" ht="18.75" customHeight="1">
      <c r="A8" s="248" t="str">
        <f t="shared" si="0"/>
        <v>ES(Sendust)2510A3</v>
      </c>
      <c r="B8" s="28" t="str">
        <f t="shared" si="1"/>
        <v>ES(Sendust)2510A060</v>
      </c>
      <c r="C8" s="25">
        <v>3</v>
      </c>
      <c r="D8" s="25" t="s">
        <v>127</v>
      </c>
      <c r="E8" s="25" t="s">
        <v>94</v>
      </c>
      <c r="F8" s="25" t="str">
        <f t="shared" si="2"/>
        <v>2510A</v>
      </c>
      <c r="G8" s="25" t="str">
        <f t="shared" si="3"/>
        <v>060</v>
      </c>
      <c r="H8" s="25">
        <v>70</v>
      </c>
      <c r="I8" s="157">
        <v>0.01456</v>
      </c>
      <c r="J8" s="157">
        <v>4.19188E-06</v>
      </c>
      <c r="K8" s="25">
        <v>2.75758</v>
      </c>
    </row>
    <row r="9" spans="1:14" ht="18.75" customHeight="1">
      <c r="A9" s="248" t="str">
        <f t="shared" si="0"/>
        <v>ES(Sendust)2510A4</v>
      </c>
      <c r="B9" s="28" t="str">
        <f t="shared" si="1"/>
        <v>ES(Sendust)2510A090</v>
      </c>
      <c r="C9" s="25">
        <v>4</v>
      </c>
      <c r="D9" s="25" t="s">
        <v>128</v>
      </c>
      <c r="E9" s="25" t="s">
        <v>94</v>
      </c>
      <c r="F9" s="25" t="str">
        <f t="shared" si="2"/>
        <v>2510A</v>
      </c>
      <c r="G9" s="25" t="str">
        <f t="shared" si="3"/>
        <v>090</v>
      </c>
      <c r="H9" s="25">
        <v>100</v>
      </c>
      <c r="I9" s="25">
        <v>0.01009</v>
      </c>
      <c r="J9" s="157">
        <v>1.62473E-05</v>
      </c>
      <c r="K9" s="25">
        <v>2.51692</v>
      </c>
      <c r="N9" s="157"/>
    </row>
    <row r="10" spans="1:14" ht="18.75" customHeight="1">
      <c r="A10" s="248" t="str">
        <f t="shared" si="0"/>
        <v>ES(Sendust)3015A1</v>
      </c>
      <c r="B10" s="28" t="str">
        <f t="shared" si="1"/>
        <v>ES(Sendust)3015A026</v>
      </c>
      <c r="C10" s="25">
        <v>1</v>
      </c>
      <c r="D10" s="25" t="s">
        <v>129</v>
      </c>
      <c r="E10" s="25" t="s">
        <v>94</v>
      </c>
      <c r="F10" s="25" t="str">
        <f t="shared" si="2"/>
        <v>3015A</v>
      </c>
      <c r="G10" s="25" t="str">
        <f t="shared" si="3"/>
        <v>026</v>
      </c>
      <c r="H10" s="25">
        <v>33</v>
      </c>
      <c r="I10" s="25">
        <v>0.03476</v>
      </c>
      <c r="J10" s="157">
        <v>5.32633E-06</v>
      </c>
      <c r="K10" s="25">
        <v>2.64517</v>
      </c>
      <c r="N10" s="157"/>
    </row>
    <row r="11" spans="1:13" ht="18.75" customHeight="1">
      <c r="A11" s="248" t="str">
        <f t="shared" si="0"/>
        <v>ES(Sendust)3015A2</v>
      </c>
      <c r="B11" s="28" t="str">
        <f t="shared" si="1"/>
        <v>ES(Sendust)3015A040</v>
      </c>
      <c r="C11" s="25">
        <v>2</v>
      </c>
      <c r="D11" s="25" t="s">
        <v>130</v>
      </c>
      <c r="E11" s="25" t="s">
        <v>94</v>
      </c>
      <c r="F11" s="25" t="str">
        <f t="shared" si="2"/>
        <v>3015A</v>
      </c>
      <c r="G11" s="25" t="str">
        <f t="shared" si="3"/>
        <v>040</v>
      </c>
      <c r="H11" s="25">
        <v>46</v>
      </c>
      <c r="I11" s="25">
        <v>0.0252</v>
      </c>
      <c r="J11" s="157">
        <v>9.57811E-06</v>
      </c>
      <c r="K11" s="25">
        <v>2.58393</v>
      </c>
      <c r="M11" s="157"/>
    </row>
    <row r="12" spans="1:14" ht="18.75" customHeight="1">
      <c r="A12" s="248" t="str">
        <f t="shared" si="0"/>
        <v>ES(Sendust)3015A3</v>
      </c>
      <c r="B12" s="28" t="str">
        <f t="shared" si="1"/>
        <v>ES(Sendust)3015A060</v>
      </c>
      <c r="C12" s="25">
        <v>3</v>
      </c>
      <c r="D12" s="25" t="s">
        <v>131</v>
      </c>
      <c r="E12" s="25" t="s">
        <v>94</v>
      </c>
      <c r="F12" s="25" t="str">
        <f t="shared" si="2"/>
        <v>3015A</v>
      </c>
      <c r="G12" s="25" t="str">
        <f t="shared" si="3"/>
        <v>060</v>
      </c>
      <c r="H12" s="25">
        <v>71</v>
      </c>
      <c r="I12" s="25">
        <v>0.01644</v>
      </c>
      <c r="J12" s="157">
        <v>4.73277E-06</v>
      </c>
      <c r="K12" s="25">
        <v>2.75758</v>
      </c>
      <c r="N12" s="157"/>
    </row>
    <row r="13" spans="1:14" ht="18.75" customHeight="1">
      <c r="A13" s="248" t="str">
        <f t="shared" si="0"/>
        <v>ES(Sendust)3015A4</v>
      </c>
      <c r="B13" s="28" t="str">
        <f t="shared" si="1"/>
        <v>ES(Sendust)3015A090</v>
      </c>
      <c r="C13" s="25">
        <v>4</v>
      </c>
      <c r="D13" s="25" t="s">
        <v>132</v>
      </c>
      <c r="E13" s="25" t="s">
        <v>94</v>
      </c>
      <c r="F13" s="25" t="str">
        <f t="shared" si="2"/>
        <v>3015A</v>
      </c>
      <c r="G13" s="25" t="str">
        <f t="shared" si="3"/>
        <v>090</v>
      </c>
      <c r="H13" s="25">
        <v>92</v>
      </c>
      <c r="I13" s="25">
        <v>0.01261</v>
      </c>
      <c r="J13" s="157">
        <v>2.03092E-05</v>
      </c>
      <c r="K13" s="25">
        <v>2.51692</v>
      </c>
      <c r="N13" s="157"/>
    </row>
    <row r="14" spans="1:13" ht="18.75" customHeight="1">
      <c r="A14" s="248" t="str">
        <f t="shared" si="0"/>
        <v>ES(Sendust)3515A1</v>
      </c>
      <c r="B14" s="28" t="str">
        <f t="shared" si="1"/>
        <v>ES(Sendust)3515A026</v>
      </c>
      <c r="C14" s="25">
        <v>1</v>
      </c>
      <c r="D14" s="25" t="s">
        <v>133</v>
      </c>
      <c r="E14" s="25" t="s">
        <v>94</v>
      </c>
      <c r="F14" s="25" t="str">
        <f t="shared" si="2"/>
        <v>3515A</v>
      </c>
      <c r="G14" s="25" t="str">
        <f t="shared" si="3"/>
        <v>026</v>
      </c>
      <c r="H14" s="25">
        <v>56</v>
      </c>
      <c r="I14" s="25">
        <v>0.02725</v>
      </c>
      <c r="J14" s="157">
        <v>4.17469E-06</v>
      </c>
      <c r="K14" s="25">
        <v>2.64517</v>
      </c>
      <c r="M14" s="157"/>
    </row>
    <row r="15" spans="1:11" ht="18.75" customHeight="1">
      <c r="A15" s="248" t="str">
        <f t="shared" si="0"/>
        <v>ES(Sendust)3515A2</v>
      </c>
      <c r="B15" s="28" t="str">
        <f t="shared" si="1"/>
        <v>ES(Sendust)3515A040</v>
      </c>
      <c r="C15" s="25">
        <v>2</v>
      </c>
      <c r="D15" s="25" t="s">
        <v>134</v>
      </c>
      <c r="E15" s="25" t="s">
        <v>94</v>
      </c>
      <c r="F15" s="25" t="str">
        <f t="shared" si="2"/>
        <v>3515A</v>
      </c>
      <c r="G15" s="25" t="str">
        <f t="shared" si="3"/>
        <v>040</v>
      </c>
      <c r="H15" s="25">
        <v>75</v>
      </c>
      <c r="I15" s="25">
        <v>0.02057</v>
      </c>
      <c r="J15" s="157">
        <v>7.81887E-06</v>
      </c>
      <c r="K15" s="25">
        <v>2.58393</v>
      </c>
    </row>
    <row r="16" spans="1:14" ht="18.75" customHeight="1">
      <c r="A16" s="248" t="str">
        <f t="shared" si="0"/>
        <v>ES(Sendust)3515A3</v>
      </c>
      <c r="B16" s="28" t="str">
        <f t="shared" si="1"/>
        <v>ES(Sendust)3515A060</v>
      </c>
      <c r="C16" s="25">
        <v>3</v>
      </c>
      <c r="D16" s="25" t="s">
        <v>135</v>
      </c>
      <c r="E16" s="25" t="s">
        <v>94</v>
      </c>
      <c r="F16" s="25" t="str">
        <f t="shared" si="2"/>
        <v>3515A</v>
      </c>
      <c r="G16" s="25" t="str">
        <f t="shared" si="3"/>
        <v>060</v>
      </c>
      <c r="H16" s="25">
        <v>102</v>
      </c>
      <c r="I16" s="25">
        <v>0.01521</v>
      </c>
      <c r="J16" s="157">
        <v>4.37958E-06</v>
      </c>
      <c r="K16" s="25">
        <v>2.75758</v>
      </c>
      <c r="N16" s="157"/>
    </row>
    <row r="17" spans="1:13" ht="18.75" customHeight="1">
      <c r="A17" s="248" t="str">
        <f t="shared" si="0"/>
        <v>ES(Sendust)3515A4</v>
      </c>
      <c r="B17" s="28" t="str">
        <f t="shared" si="1"/>
        <v>ES(Sendust)3515A090</v>
      </c>
      <c r="C17" s="25">
        <v>4</v>
      </c>
      <c r="D17" s="25" t="s">
        <v>136</v>
      </c>
      <c r="E17" s="25" t="s">
        <v>94</v>
      </c>
      <c r="F17" s="25" t="str">
        <f t="shared" si="2"/>
        <v>3515A</v>
      </c>
      <c r="G17" s="25" t="str">
        <f t="shared" si="3"/>
        <v>090</v>
      </c>
      <c r="H17" s="25">
        <v>146</v>
      </c>
      <c r="I17" s="25">
        <v>0.01051</v>
      </c>
      <c r="J17" s="157">
        <v>1.69243E-05</v>
      </c>
      <c r="K17" s="25">
        <v>2.51692</v>
      </c>
      <c r="M17" s="157"/>
    </row>
    <row r="18" spans="1:11" ht="18.75" customHeight="1">
      <c r="A18" s="248" t="str">
        <f t="shared" si="0"/>
        <v>ES(Sendust)4117A1</v>
      </c>
      <c r="B18" s="28" t="str">
        <f t="shared" si="1"/>
        <v>ES(Sendust)4117A026</v>
      </c>
      <c r="C18" s="25">
        <v>1</v>
      </c>
      <c r="D18" s="25" t="s">
        <v>137</v>
      </c>
      <c r="E18" s="25" t="s">
        <v>94</v>
      </c>
      <c r="F18" s="25" t="str">
        <f t="shared" si="2"/>
        <v>4117A</v>
      </c>
      <c r="G18" s="25" t="str">
        <f t="shared" si="3"/>
        <v>026</v>
      </c>
      <c r="H18" s="25">
        <v>88</v>
      </c>
      <c r="I18" s="25">
        <v>0.028</v>
      </c>
      <c r="J18" s="157">
        <v>4.29065E-06</v>
      </c>
      <c r="K18" s="157">
        <v>2.64517</v>
      </c>
    </row>
    <row r="19" spans="1:13" ht="18.75" customHeight="1">
      <c r="A19" s="248" t="str">
        <f t="shared" si="0"/>
        <v>ES(Sendust)4117A2</v>
      </c>
      <c r="B19" s="28" t="str">
        <f t="shared" si="1"/>
        <v>ES(Sendust)4117A040</v>
      </c>
      <c r="C19" s="25">
        <v>2</v>
      </c>
      <c r="D19" s="25" t="s">
        <v>138</v>
      </c>
      <c r="E19" s="25" t="s">
        <v>94</v>
      </c>
      <c r="F19" s="25" t="str">
        <f t="shared" si="2"/>
        <v>4117A</v>
      </c>
      <c r="G19" s="25" t="str">
        <f t="shared" si="3"/>
        <v>040</v>
      </c>
      <c r="H19" s="25">
        <v>119</v>
      </c>
      <c r="I19" s="25">
        <v>0.021</v>
      </c>
      <c r="J19" s="157">
        <v>7.98176E-06</v>
      </c>
      <c r="K19" s="25">
        <v>2.58393</v>
      </c>
      <c r="M19" s="157"/>
    </row>
    <row r="20" spans="1:13" ht="18.75" customHeight="1">
      <c r="A20" s="248" t="str">
        <f t="shared" si="0"/>
        <v>ES(Sendust)4117A3</v>
      </c>
      <c r="B20" s="28" t="str">
        <f t="shared" si="1"/>
        <v>ES(Sendust)4117A060</v>
      </c>
      <c r="C20" s="25">
        <v>3</v>
      </c>
      <c r="D20" s="25" t="s">
        <v>139</v>
      </c>
      <c r="E20" s="25" t="s">
        <v>94</v>
      </c>
      <c r="F20" s="25" t="str">
        <f t="shared" si="2"/>
        <v>4117A</v>
      </c>
      <c r="G20" s="25" t="str">
        <f t="shared" si="3"/>
        <v>060</v>
      </c>
      <c r="H20" s="25">
        <v>163</v>
      </c>
      <c r="I20" s="25">
        <v>0.01544</v>
      </c>
      <c r="J20" s="157">
        <v>4.44593E-06</v>
      </c>
      <c r="K20" s="25">
        <v>2.75758</v>
      </c>
      <c r="M20" s="157"/>
    </row>
    <row r="21" spans="1:11" ht="18.75" customHeight="1">
      <c r="A21" s="248" t="str">
        <f t="shared" si="0"/>
        <v>ES(Sendust)4117A4</v>
      </c>
      <c r="B21" s="28" t="str">
        <f t="shared" si="1"/>
        <v>ES(Sendust)4117A090</v>
      </c>
      <c r="C21" s="25">
        <v>4</v>
      </c>
      <c r="D21" s="25" t="s">
        <v>140</v>
      </c>
      <c r="E21" s="25" t="s">
        <v>94</v>
      </c>
      <c r="F21" s="25" t="str">
        <f t="shared" si="2"/>
        <v>4117A</v>
      </c>
      <c r="G21" s="25" t="str">
        <f t="shared" si="3"/>
        <v>090</v>
      </c>
      <c r="H21" s="25">
        <v>234</v>
      </c>
      <c r="I21" s="25">
        <v>0.01062</v>
      </c>
      <c r="J21" s="157">
        <v>1.71025E-05</v>
      </c>
      <c r="K21" s="25">
        <v>2.51692</v>
      </c>
    </row>
    <row r="22" spans="1:13" ht="18.75" customHeight="1">
      <c r="A22" s="248" t="str">
        <f t="shared" si="0"/>
        <v>ES(Sendust)4321A1</v>
      </c>
      <c r="B22" s="28" t="str">
        <f t="shared" si="1"/>
        <v>ES(Sendust)4321A026</v>
      </c>
      <c r="C22" s="25">
        <v>1</v>
      </c>
      <c r="D22" s="25" t="s">
        <v>141</v>
      </c>
      <c r="E22" s="25" t="s">
        <v>94</v>
      </c>
      <c r="F22" s="25" t="str">
        <f t="shared" si="2"/>
        <v>4321A</v>
      </c>
      <c r="G22" s="25" t="str">
        <f t="shared" si="3"/>
        <v>026</v>
      </c>
      <c r="H22" s="25">
        <v>56</v>
      </c>
      <c r="I22" s="25">
        <v>0.02965</v>
      </c>
      <c r="J22" s="157">
        <v>4.54305E-06</v>
      </c>
      <c r="K22" s="25">
        <v>2.64517</v>
      </c>
      <c r="M22" s="157"/>
    </row>
    <row r="23" spans="1:14" ht="18.75" customHeight="1">
      <c r="A23" s="248" t="str">
        <f t="shared" si="0"/>
        <v>ES(Sendust)4321A2</v>
      </c>
      <c r="B23" s="28" t="str">
        <f t="shared" si="1"/>
        <v>ES(Sendust)4321A040</v>
      </c>
      <c r="C23" s="25">
        <v>2</v>
      </c>
      <c r="D23" s="25" t="s">
        <v>142</v>
      </c>
      <c r="E23" s="25" t="s">
        <v>94</v>
      </c>
      <c r="F23" s="25" t="str">
        <f t="shared" si="2"/>
        <v>4321A</v>
      </c>
      <c r="G23" s="25" t="str">
        <f t="shared" si="3"/>
        <v>040</v>
      </c>
      <c r="H23" s="25">
        <v>76</v>
      </c>
      <c r="I23" s="25">
        <v>0.02191</v>
      </c>
      <c r="J23" s="157">
        <v>8.32879E-06</v>
      </c>
      <c r="K23" s="25">
        <v>2.58393</v>
      </c>
      <c r="N23" s="157"/>
    </row>
    <row r="24" spans="1:11" ht="18.75" customHeight="1">
      <c r="A24" s="248" t="str">
        <f t="shared" si="0"/>
        <v>ES(Sendust)4321A3</v>
      </c>
      <c r="B24" s="28" t="str">
        <f t="shared" si="1"/>
        <v>ES(Sendust)4321A060</v>
      </c>
      <c r="C24" s="25">
        <v>3</v>
      </c>
      <c r="D24" s="25" t="s">
        <v>143</v>
      </c>
      <c r="E24" s="25" t="s">
        <v>94</v>
      </c>
      <c r="F24" s="25" t="str">
        <f t="shared" si="2"/>
        <v>4321A</v>
      </c>
      <c r="G24" s="25" t="str">
        <f t="shared" si="3"/>
        <v>060</v>
      </c>
      <c r="H24" s="25">
        <v>105</v>
      </c>
      <c r="I24" s="25">
        <v>0.01593</v>
      </c>
      <c r="J24" s="157">
        <v>4.58487E-06</v>
      </c>
      <c r="K24" s="25">
        <v>2.75758</v>
      </c>
    </row>
    <row r="25" spans="1:13" ht="18.75" customHeight="1">
      <c r="A25" s="248" t="str">
        <f t="shared" si="0"/>
        <v>ES(Sendust)4321A4</v>
      </c>
      <c r="B25" s="28" t="str">
        <f t="shared" si="1"/>
        <v>ES(Sendust)4321A090</v>
      </c>
      <c r="C25" s="25">
        <v>4</v>
      </c>
      <c r="D25" s="25" t="s">
        <v>144</v>
      </c>
      <c r="E25" s="25" t="s">
        <v>94</v>
      </c>
      <c r="F25" s="25" t="str">
        <f t="shared" si="2"/>
        <v>4321A</v>
      </c>
      <c r="G25" s="25" t="str">
        <f t="shared" si="3"/>
        <v>090</v>
      </c>
      <c r="H25" s="25">
        <v>151</v>
      </c>
      <c r="I25" s="25">
        <v>0.01097</v>
      </c>
      <c r="J25" s="157">
        <v>1.76601E-05</v>
      </c>
      <c r="K25" s="25">
        <v>2.51692</v>
      </c>
      <c r="M25" s="157"/>
    </row>
    <row r="26" spans="1:14" ht="18.75" customHeight="1">
      <c r="A26" s="248" t="str">
        <f t="shared" si="0"/>
        <v>ES(Sendust)4321B1</v>
      </c>
      <c r="B26" s="28" t="str">
        <f t="shared" si="1"/>
        <v>ES(Sendust)4321B026</v>
      </c>
      <c r="C26" s="25">
        <v>1</v>
      </c>
      <c r="D26" s="25" t="s">
        <v>145</v>
      </c>
      <c r="E26" s="25" t="s">
        <v>94</v>
      </c>
      <c r="F26" s="25" t="str">
        <f t="shared" si="2"/>
        <v>4321B</v>
      </c>
      <c r="G26" s="25" t="str">
        <f t="shared" si="3"/>
        <v>026</v>
      </c>
      <c r="H26" s="25">
        <v>80</v>
      </c>
      <c r="I26" s="25">
        <v>0.02965</v>
      </c>
      <c r="J26" s="157">
        <v>4.54305E-06</v>
      </c>
      <c r="K26" s="25">
        <v>2.64517</v>
      </c>
      <c r="N26" s="157"/>
    </row>
    <row r="27" spans="1:11" ht="18.75" customHeight="1">
      <c r="A27" s="248" t="str">
        <f t="shared" si="0"/>
        <v>ES(Sendust)4321B2</v>
      </c>
      <c r="B27" s="28" t="str">
        <f t="shared" si="1"/>
        <v>ES(Sendust)4321B040</v>
      </c>
      <c r="C27" s="25">
        <v>2</v>
      </c>
      <c r="D27" s="25" t="s">
        <v>146</v>
      </c>
      <c r="E27" s="25" t="s">
        <v>94</v>
      </c>
      <c r="F27" s="25" t="str">
        <f t="shared" si="2"/>
        <v>4321B</v>
      </c>
      <c r="G27" s="25" t="str">
        <f t="shared" si="3"/>
        <v>040</v>
      </c>
      <c r="H27" s="25">
        <v>108</v>
      </c>
      <c r="I27" s="25">
        <v>0.02191</v>
      </c>
      <c r="J27" s="157">
        <v>8.32879E-06</v>
      </c>
      <c r="K27" s="25">
        <v>2.58393</v>
      </c>
    </row>
    <row r="28" spans="1:13" ht="18.75" customHeight="1">
      <c r="A28" s="248" t="str">
        <f t="shared" si="0"/>
        <v>ES(Sendust)4321B3</v>
      </c>
      <c r="B28" s="28" t="str">
        <f t="shared" si="1"/>
        <v>ES(Sendust)4321B060</v>
      </c>
      <c r="C28" s="25">
        <v>3</v>
      </c>
      <c r="D28" s="25" t="s">
        <v>147</v>
      </c>
      <c r="E28" s="25" t="s">
        <v>94</v>
      </c>
      <c r="F28" s="25" t="str">
        <f t="shared" si="2"/>
        <v>4321B</v>
      </c>
      <c r="G28" s="25" t="str">
        <f t="shared" si="3"/>
        <v>060</v>
      </c>
      <c r="H28" s="25">
        <v>150</v>
      </c>
      <c r="I28" s="25">
        <v>0.01593</v>
      </c>
      <c r="J28" s="157">
        <v>4.58487E-06</v>
      </c>
      <c r="K28" s="25">
        <v>2.75758</v>
      </c>
      <c r="M28" s="157"/>
    </row>
    <row r="29" spans="1:14" ht="18.75" customHeight="1">
      <c r="A29" s="248" t="str">
        <f t="shared" si="0"/>
        <v>ES(Sendust)4321B4</v>
      </c>
      <c r="B29" s="28" t="str">
        <f t="shared" si="1"/>
        <v>ES(Sendust)4321B090</v>
      </c>
      <c r="C29" s="25">
        <v>4</v>
      </c>
      <c r="D29" s="25" t="s">
        <v>148</v>
      </c>
      <c r="E29" s="25" t="s">
        <v>94</v>
      </c>
      <c r="F29" s="25" t="str">
        <f t="shared" si="2"/>
        <v>4321B</v>
      </c>
      <c r="G29" s="25" t="str">
        <f t="shared" si="3"/>
        <v>090</v>
      </c>
      <c r="H29" s="25">
        <v>217</v>
      </c>
      <c r="I29" s="25">
        <v>0.01097</v>
      </c>
      <c r="J29" s="157">
        <v>1.76601E-05</v>
      </c>
      <c r="K29" s="25">
        <v>2.51692</v>
      </c>
      <c r="N29" s="157"/>
    </row>
    <row r="30" spans="1:11" ht="18.75" customHeight="1">
      <c r="A30" s="248" t="str">
        <f t="shared" si="0"/>
        <v>ES(Sendust)4321C1</v>
      </c>
      <c r="B30" s="28" t="str">
        <f t="shared" si="1"/>
        <v>ES(Sendust)4321C026</v>
      </c>
      <c r="C30" s="25">
        <v>1</v>
      </c>
      <c r="D30" s="25" t="s">
        <v>149</v>
      </c>
      <c r="E30" s="25" t="s">
        <v>94</v>
      </c>
      <c r="F30" s="25" t="str">
        <f t="shared" si="2"/>
        <v>4321C</v>
      </c>
      <c r="G30" s="25" t="str">
        <f t="shared" si="3"/>
        <v>026</v>
      </c>
      <c r="H30" s="25">
        <v>104</v>
      </c>
      <c r="I30" s="25">
        <v>0.02965</v>
      </c>
      <c r="J30" s="157">
        <v>4.54305E-06</v>
      </c>
      <c r="K30" s="25">
        <v>2.64517</v>
      </c>
    </row>
    <row r="31" spans="1:11" ht="18.75" customHeight="1">
      <c r="A31" s="248" t="str">
        <f t="shared" si="0"/>
        <v>ES(Sendust)4321C2</v>
      </c>
      <c r="B31" s="28" t="str">
        <f t="shared" si="1"/>
        <v>ES(Sendust)4321C040</v>
      </c>
      <c r="C31" s="25">
        <v>2</v>
      </c>
      <c r="D31" s="25" t="s">
        <v>150</v>
      </c>
      <c r="E31" s="25" t="s">
        <v>94</v>
      </c>
      <c r="F31" s="25" t="str">
        <f t="shared" si="2"/>
        <v>4321C</v>
      </c>
      <c r="G31" s="25" t="str">
        <f t="shared" si="3"/>
        <v>040</v>
      </c>
      <c r="H31" s="25">
        <v>140</v>
      </c>
      <c r="I31" s="25">
        <v>0.02191</v>
      </c>
      <c r="J31" s="157">
        <v>8.32879E-06</v>
      </c>
      <c r="K31" s="25">
        <v>2.58393</v>
      </c>
    </row>
    <row r="32" spans="1:14" ht="18.75" customHeight="1">
      <c r="A32" s="248" t="str">
        <f t="shared" si="0"/>
        <v>ES(Sendust)4321C3</v>
      </c>
      <c r="B32" s="28" t="str">
        <f t="shared" si="1"/>
        <v>ES(Sendust)4321C060</v>
      </c>
      <c r="C32" s="25">
        <v>3</v>
      </c>
      <c r="D32" s="25" t="s">
        <v>151</v>
      </c>
      <c r="E32" s="25" t="s">
        <v>94</v>
      </c>
      <c r="F32" s="25" t="str">
        <f t="shared" si="2"/>
        <v>4321C</v>
      </c>
      <c r="G32" s="25" t="str">
        <f t="shared" si="3"/>
        <v>060</v>
      </c>
      <c r="H32" s="25">
        <v>194</v>
      </c>
      <c r="I32" s="25">
        <v>0.01593</v>
      </c>
      <c r="J32" s="157">
        <v>4.58487E-06</v>
      </c>
      <c r="K32" s="25">
        <v>2.75758</v>
      </c>
      <c r="N32" s="157"/>
    </row>
    <row r="33" spans="1:11" ht="18.75" customHeight="1">
      <c r="A33" s="248" t="str">
        <f t="shared" si="0"/>
        <v>ES(Sendust)4321C4</v>
      </c>
      <c r="B33" s="28" t="str">
        <f t="shared" si="1"/>
        <v>ES(Sendust)4321C090</v>
      </c>
      <c r="C33" s="25">
        <v>4</v>
      </c>
      <c r="D33" s="25" t="s">
        <v>152</v>
      </c>
      <c r="E33" s="25" t="s">
        <v>94</v>
      </c>
      <c r="F33" s="25" t="str">
        <f t="shared" si="2"/>
        <v>4321C</v>
      </c>
      <c r="G33" s="25" t="str">
        <f t="shared" si="3"/>
        <v>090</v>
      </c>
      <c r="H33" s="25">
        <v>281</v>
      </c>
      <c r="I33" s="25">
        <v>0.01097</v>
      </c>
      <c r="J33" s="157">
        <v>1.76601E-05</v>
      </c>
      <c r="K33" s="25">
        <v>2.51692</v>
      </c>
    </row>
    <row r="34" spans="1:11" ht="18.75" customHeight="1">
      <c r="A34" s="248" t="str">
        <f t="shared" si="0"/>
        <v>ES(Sendust)5528A1</v>
      </c>
      <c r="B34" s="28" t="str">
        <f t="shared" si="1"/>
        <v>ES(Sendust)5528A026</v>
      </c>
      <c r="C34" s="25">
        <v>1</v>
      </c>
      <c r="D34" s="25" t="s">
        <v>153</v>
      </c>
      <c r="E34" s="25" t="s">
        <v>94</v>
      </c>
      <c r="F34" s="25" t="str">
        <f t="shared" si="2"/>
        <v>5528A</v>
      </c>
      <c r="G34" s="25" t="str">
        <f t="shared" si="3"/>
        <v>026</v>
      </c>
      <c r="H34" s="25">
        <v>116</v>
      </c>
      <c r="I34" s="25">
        <v>0.0315</v>
      </c>
      <c r="J34" s="157">
        <v>4.82699E-06</v>
      </c>
      <c r="K34" s="25">
        <v>2.64517</v>
      </c>
    </row>
    <row r="35" spans="1:13" ht="18.75" customHeight="1">
      <c r="A35" s="248" t="str">
        <f t="shared" si="0"/>
        <v>ES(Sendust)5528A2</v>
      </c>
      <c r="B35" s="28" t="str">
        <f t="shared" si="1"/>
        <v>ES(Sendust)5528A040</v>
      </c>
      <c r="C35" s="25">
        <v>2</v>
      </c>
      <c r="D35" s="25" t="s">
        <v>154</v>
      </c>
      <c r="E35" s="25" t="s">
        <v>94</v>
      </c>
      <c r="F35" s="25" t="str">
        <f t="shared" si="2"/>
        <v>5528A</v>
      </c>
      <c r="G35" s="25" t="str">
        <f t="shared" si="3"/>
        <v>040</v>
      </c>
      <c r="H35" s="25">
        <v>157</v>
      </c>
      <c r="I35" s="25">
        <v>0.02291</v>
      </c>
      <c r="J35" s="157">
        <v>8.70737E-06</v>
      </c>
      <c r="K35" s="25">
        <v>2.58393</v>
      </c>
      <c r="M35" s="157"/>
    </row>
    <row r="36" spans="1:11" ht="18.75" customHeight="1">
      <c r="A36" s="248" t="str">
        <f t="shared" si="0"/>
        <v>ES(Sendust)5528A3</v>
      </c>
      <c r="B36" s="28" t="str">
        <f t="shared" si="1"/>
        <v>ES(Sendust)5528A060</v>
      </c>
      <c r="C36" s="25">
        <v>3</v>
      </c>
      <c r="D36" s="25" t="s">
        <v>155</v>
      </c>
      <c r="E36" s="25" t="s">
        <v>94</v>
      </c>
      <c r="F36" s="25" t="str">
        <f t="shared" si="2"/>
        <v>5528A</v>
      </c>
      <c r="G36" s="25" t="str">
        <f t="shared" si="3"/>
        <v>060</v>
      </c>
      <c r="H36" s="25">
        <v>219</v>
      </c>
      <c r="I36" s="25">
        <v>0.01671</v>
      </c>
      <c r="J36" s="157">
        <v>4.81035E-06</v>
      </c>
      <c r="K36" s="25">
        <v>2.75758</v>
      </c>
    </row>
    <row r="37" spans="1:11" ht="18.75" customHeight="1">
      <c r="A37" s="248" t="str">
        <f t="shared" si="0"/>
        <v>ES(Sendust)5528B1</v>
      </c>
      <c r="B37" s="28" t="str">
        <f t="shared" si="1"/>
        <v>ES(Sendust)5528B026</v>
      </c>
      <c r="C37" s="25">
        <v>1</v>
      </c>
      <c r="D37" s="25" t="s">
        <v>156</v>
      </c>
      <c r="E37" s="25" t="s">
        <v>94</v>
      </c>
      <c r="F37" s="25" t="str">
        <f t="shared" si="2"/>
        <v>5528B</v>
      </c>
      <c r="G37" s="25" t="str">
        <f t="shared" si="3"/>
        <v>026</v>
      </c>
      <c r="H37" s="25">
        <v>138</v>
      </c>
      <c r="I37" s="25">
        <v>0.0315</v>
      </c>
      <c r="J37" s="157">
        <v>4.82699E-06</v>
      </c>
      <c r="K37" s="25">
        <v>2.64517</v>
      </c>
    </row>
    <row r="38" spans="1:13" ht="18.75" customHeight="1">
      <c r="A38" s="248" t="str">
        <f t="shared" si="0"/>
        <v>ES(Sendust)5528B2</v>
      </c>
      <c r="B38" s="28" t="str">
        <f t="shared" si="1"/>
        <v>ES(Sendust)5528B040</v>
      </c>
      <c r="C38" s="25">
        <v>2</v>
      </c>
      <c r="D38" s="25" t="s">
        <v>157</v>
      </c>
      <c r="E38" s="25" t="s">
        <v>94</v>
      </c>
      <c r="F38" s="25" t="str">
        <f t="shared" si="2"/>
        <v>5528B</v>
      </c>
      <c r="G38" s="25" t="str">
        <f t="shared" si="3"/>
        <v>040</v>
      </c>
      <c r="H38" s="25">
        <v>187</v>
      </c>
      <c r="I38" s="25">
        <v>0.02291</v>
      </c>
      <c r="J38" s="157">
        <v>8.70737E-06</v>
      </c>
      <c r="K38" s="25">
        <v>2.58393</v>
      </c>
      <c r="M38" s="157"/>
    </row>
    <row r="39" spans="1:11" ht="18.75" customHeight="1">
      <c r="A39" s="248" t="str">
        <f t="shared" si="0"/>
        <v>ES(Sendust)5528B3</v>
      </c>
      <c r="B39" s="28" t="str">
        <f t="shared" si="1"/>
        <v>ES(Sendust)5528B060</v>
      </c>
      <c r="C39" s="25">
        <v>3</v>
      </c>
      <c r="D39" s="25" t="s">
        <v>158</v>
      </c>
      <c r="E39" s="25" t="s">
        <v>94</v>
      </c>
      <c r="F39" s="25" t="str">
        <f t="shared" si="2"/>
        <v>5528B</v>
      </c>
      <c r="G39" s="25" t="str">
        <f t="shared" si="3"/>
        <v>060</v>
      </c>
      <c r="H39" s="25">
        <v>261</v>
      </c>
      <c r="I39" s="25">
        <v>0.01671</v>
      </c>
      <c r="J39" s="157">
        <v>4.81035E-06</v>
      </c>
      <c r="K39" s="25">
        <v>2.75758</v>
      </c>
    </row>
    <row r="40" spans="1:11" ht="18.75" customHeight="1">
      <c r="A40" s="248" t="str">
        <f t="shared" si="0"/>
        <v>ES(Sendust)6533A1</v>
      </c>
      <c r="B40" s="28" t="str">
        <f t="shared" si="1"/>
        <v>ES(Sendust)6533A026</v>
      </c>
      <c r="C40" s="25">
        <v>1</v>
      </c>
      <c r="D40" s="25" t="s">
        <v>159</v>
      </c>
      <c r="E40" s="25" t="s">
        <v>94</v>
      </c>
      <c r="F40" s="25" t="str">
        <f t="shared" si="2"/>
        <v>6533A</v>
      </c>
      <c r="G40" s="25" t="str">
        <f t="shared" si="3"/>
        <v>026</v>
      </c>
      <c r="H40" s="25">
        <v>162</v>
      </c>
      <c r="I40" s="25">
        <v>0.0288</v>
      </c>
      <c r="J40" s="157">
        <v>4.41324E-06</v>
      </c>
      <c r="K40" s="25">
        <v>2.64517</v>
      </c>
    </row>
    <row r="41" spans="1:13" ht="18.75" customHeight="1">
      <c r="A41" s="248" t="str">
        <f t="shared" si="0"/>
        <v>ES(Sendust)6533A2</v>
      </c>
      <c r="B41" s="28" t="str">
        <f t="shared" si="1"/>
        <v>ES(Sendust)6533A040</v>
      </c>
      <c r="C41" s="25">
        <v>2</v>
      </c>
      <c r="D41" s="25" t="s">
        <v>160</v>
      </c>
      <c r="E41" s="25" t="s">
        <v>94</v>
      </c>
      <c r="F41" s="25" t="str">
        <f t="shared" si="2"/>
        <v>6533A</v>
      </c>
      <c r="G41" s="25" t="str">
        <f t="shared" si="3"/>
        <v>040</v>
      </c>
      <c r="H41" s="25">
        <v>230</v>
      </c>
      <c r="I41" s="25">
        <v>0.02016</v>
      </c>
      <c r="J41" s="157">
        <v>7.66249E-06</v>
      </c>
      <c r="K41" s="25">
        <v>2.58393</v>
      </c>
      <c r="M41" s="157"/>
    </row>
    <row r="42" spans="1:11" ht="18.75" customHeight="1">
      <c r="A42" s="248" t="str">
        <f t="shared" si="0"/>
        <v>ES(Sendust)6533A3</v>
      </c>
      <c r="B42" s="28" t="str">
        <f t="shared" si="1"/>
        <v>ES(Sendust)6533A060</v>
      </c>
      <c r="C42" s="25">
        <v>3</v>
      </c>
      <c r="D42" s="25" t="s">
        <v>161</v>
      </c>
      <c r="E42" s="25" t="s">
        <v>94</v>
      </c>
      <c r="F42" s="25" t="str">
        <f t="shared" si="2"/>
        <v>6533A</v>
      </c>
      <c r="G42" s="25" t="str">
        <f t="shared" si="3"/>
        <v>060</v>
      </c>
      <c r="H42" s="25">
        <v>300</v>
      </c>
      <c r="I42" s="25">
        <v>0.01568</v>
      </c>
      <c r="J42" s="157">
        <v>4.51433E-06</v>
      </c>
      <c r="K42" s="25">
        <v>2.75758</v>
      </c>
    </row>
    <row r="43" spans="1:11" ht="18.75" customHeight="1">
      <c r="A43" s="248" t="str">
        <f t="shared" si="0"/>
        <v>ES(Sendust)7228A1</v>
      </c>
      <c r="B43" s="28" t="str">
        <f t="shared" si="1"/>
        <v>ES(Sendust)7228A026</v>
      </c>
      <c r="C43" s="25">
        <v>1</v>
      </c>
      <c r="D43" s="25" t="s">
        <v>162</v>
      </c>
      <c r="E43" s="25" t="s">
        <v>94</v>
      </c>
      <c r="F43" s="25" t="str">
        <f t="shared" si="2"/>
        <v>7228A</v>
      </c>
      <c r="G43" s="25" t="str">
        <f t="shared" si="3"/>
        <v>026</v>
      </c>
      <c r="H43" s="25">
        <v>130</v>
      </c>
      <c r="I43" s="25">
        <v>0.02585</v>
      </c>
      <c r="J43" s="157">
        <v>3.9606E-06</v>
      </c>
      <c r="K43" s="25">
        <v>2.64517</v>
      </c>
    </row>
    <row r="44" spans="1:13" ht="18.75" customHeight="1">
      <c r="A44" s="248" t="str">
        <f t="shared" si="0"/>
        <v>ES(Sendust)7228A2</v>
      </c>
      <c r="B44" s="28" t="str">
        <f t="shared" si="1"/>
        <v>ES(Sendust)7228A040</v>
      </c>
      <c r="C44" s="25">
        <v>2</v>
      </c>
      <c r="D44" s="25" t="s">
        <v>163</v>
      </c>
      <c r="E44" s="25" t="s">
        <v>94</v>
      </c>
      <c r="F44" s="25" t="str">
        <f t="shared" si="2"/>
        <v>7228A</v>
      </c>
      <c r="G44" s="25" t="str">
        <f t="shared" si="3"/>
        <v>040</v>
      </c>
      <c r="H44" s="25">
        <v>173</v>
      </c>
      <c r="I44" s="25">
        <v>0.01976</v>
      </c>
      <c r="J44" s="157">
        <v>7.51224E-06</v>
      </c>
      <c r="K44" s="25">
        <v>2.58393</v>
      </c>
      <c r="M44" s="157"/>
    </row>
    <row r="45" spans="1:11" ht="18.75" customHeight="1">
      <c r="A45" s="248" t="str">
        <f t="shared" si="0"/>
        <v>ES(Sendust)7228A3</v>
      </c>
      <c r="B45" s="28" t="str">
        <f t="shared" si="1"/>
        <v>ES(Sendust)7228A060</v>
      </c>
      <c r="C45" s="25">
        <v>3</v>
      </c>
      <c r="D45" s="25" t="s">
        <v>164</v>
      </c>
      <c r="E45" s="25" t="s">
        <v>94</v>
      </c>
      <c r="F45" s="25" t="str">
        <f t="shared" si="2"/>
        <v>7228A</v>
      </c>
      <c r="G45" s="25" t="str">
        <f t="shared" si="3"/>
        <v>060</v>
      </c>
      <c r="H45" s="25">
        <v>236</v>
      </c>
      <c r="I45" s="25">
        <v>0.01456</v>
      </c>
      <c r="J45" s="157">
        <v>4.19188E-06</v>
      </c>
      <c r="K45" s="25">
        <v>2.75758</v>
      </c>
    </row>
    <row r="46" spans="1:11" ht="18.75" customHeight="1">
      <c r="A46" s="248" t="str">
        <f t="shared" si="0"/>
        <v>ES(Sendust)8038A1</v>
      </c>
      <c r="B46" s="28" t="str">
        <f t="shared" si="1"/>
        <v>ES(Sendust)8038A026</v>
      </c>
      <c r="C46" s="25">
        <v>1</v>
      </c>
      <c r="D46" s="25" t="s">
        <v>165</v>
      </c>
      <c r="E46" s="25" t="s">
        <v>94</v>
      </c>
      <c r="F46" s="25" t="str">
        <f t="shared" si="2"/>
        <v>8038A</v>
      </c>
      <c r="G46" s="25" t="str">
        <f t="shared" si="3"/>
        <v>026</v>
      </c>
      <c r="H46" s="25">
        <v>103</v>
      </c>
      <c r="I46" s="25">
        <v>0.02585</v>
      </c>
      <c r="J46" s="157">
        <v>3.9606E-06</v>
      </c>
      <c r="K46" s="25">
        <v>2.64517</v>
      </c>
    </row>
    <row r="47" spans="1:13" ht="18.75" customHeight="1">
      <c r="A47" s="248" t="str">
        <f t="shared" si="0"/>
        <v>ES(Sendust)8038A2</v>
      </c>
      <c r="B47" s="28" t="str">
        <f t="shared" si="1"/>
        <v>ES(Sendust)8038A040</v>
      </c>
      <c r="C47" s="25">
        <v>2</v>
      </c>
      <c r="D47" s="25" t="s">
        <v>166</v>
      </c>
      <c r="E47" s="25" t="s">
        <v>94</v>
      </c>
      <c r="F47" s="25" t="str">
        <f t="shared" si="2"/>
        <v>8038A</v>
      </c>
      <c r="G47" s="25" t="str">
        <f t="shared" si="3"/>
        <v>040</v>
      </c>
      <c r="H47" s="25">
        <v>145</v>
      </c>
      <c r="I47" s="25">
        <v>0.01833</v>
      </c>
      <c r="J47" s="157">
        <v>6.9659E-06</v>
      </c>
      <c r="K47" s="25">
        <v>2.58393</v>
      </c>
      <c r="M47" s="157"/>
    </row>
    <row r="48" spans="1:11" ht="18.75" customHeight="1">
      <c r="A48" s="248" t="str">
        <f t="shared" si="0"/>
        <v>ES(Sendust)8038A3</v>
      </c>
      <c r="B48" s="28" t="str">
        <f t="shared" si="1"/>
        <v>ES(Sendust)8038A060</v>
      </c>
      <c r="C48" s="25">
        <v>3</v>
      </c>
      <c r="D48" s="25" t="s">
        <v>167</v>
      </c>
      <c r="E48" s="25" t="s">
        <v>94</v>
      </c>
      <c r="F48" s="25" t="str">
        <f t="shared" si="2"/>
        <v>8038A</v>
      </c>
      <c r="G48" s="25" t="str">
        <f t="shared" si="3"/>
        <v>060</v>
      </c>
      <c r="H48" s="25">
        <v>190</v>
      </c>
      <c r="I48" s="25">
        <v>0.01416</v>
      </c>
      <c r="J48" s="157">
        <v>4.07544E-06</v>
      </c>
      <c r="K48" s="25">
        <v>2.75758</v>
      </c>
    </row>
    <row r="49" spans="1:11" ht="18.75" customHeight="1">
      <c r="A49" s="248" t="str">
        <f t="shared" si="0"/>
        <v>EK(MegaFlux)1908A1</v>
      </c>
      <c r="B49" s="28" t="str">
        <f t="shared" si="1"/>
        <v>EK(MegaFlux)1908A026</v>
      </c>
      <c r="C49" s="25">
        <v>1</v>
      </c>
      <c r="D49" s="25" t="s">
        <v>168</v>
      </c>
      <c r="E49" s="25" t="s">
        <v>96</v>
      </c>
      <c r="F49" s="25" t="str">
        <f t="shared" si="2"/>
        <v>1908A</v>
      </c>
      <c r="G49" s="25" t="str">
        <f t="shared" si="3"/>
        <v>026</v>
      </c>
      <c r="H49" s="25">
        <v>26</v>
      </c>
      <c r="I49" s="25">
        <v>0.02798</v>
      </c>
      <c r="J49" s="157">
        <v>3.42772E-07</v>
      </c>
      <c r="K49" s="25">
        <v>2.86994</v>
      </c>
    </row>
    <row r="50" spans="1:13" ht="18.75" customHeight="1">
      <c r="A50" s="248" t="str">
        <f t="shared" si="0"/>
        <v>EK(MegaFlux)1908A2</v>
      </c>
      <c r="B50" s="28" t="str">
        <f t="shared" si="1"/>
        <v>EK(MegaFlux)1908A040</v>
      </c>
      <c r="C50" s="25">
        <v>2</v>
      </c>
      <c r="D50" s="25" t="s">
        <v>169</v>
      </c>
      <c r="E50" s="25" t="s">
        <v>96</v>
      </c>
      <c r="F50" s="25" t="str">
        <f t="shared" si="2"/>
        <v>1908A</v>
      </c>
      <c r="G50" s="25" t="str">
        <f t="shared" si="3"/>
        <v>040</v>
      </c>
      <c r="H50" s="25">
        <v>35</v>
      </c>
      <c r="I50" s="25">
        <v>0.0206</v>
      </c>
      <c r="J50" s="157">
        <v>2.44802E-07</v>
      </c>
      <c r="K50" s="25">
        <v>3.02801</v>
      </c>
      <c r="M50" s="157"/>
    </row>
    <row r="51" spans="1:11" ht="18.75" customHeight="1">
      <c r="A51" s="248" t="str">
        <f t="shared" si="0"/>
        <v>EK(MegaFlux)1908A3</v>
      </c>
      <c r="B51" s="28" t="str">
        <f aca="true" t="shared" si="4" ref="B51:B87">E51&amp;F51&amp;G51</f>
        <v>EK(MegaFlux)1908A060</v>
      </c>
      <c r="C51" s="25">
        <v>3</v>
      </c>
      <c r="D51" s="25" t="s">
        <v>170</v>
      </c>
      <c r="E51" s="25" t="s">
        <v>96</v>
      </c>
      <c r="F51" s="25" t="str">
        <f aca="true" t="shared" si="5" ref="F51:F87">MID(D51,3,5)</f>
        <v>1908A</v>
      </c>
      <c r="G51" s="25" t="str">
        <f aca="true" t="shared" si="6" ref="G51:G87">MID(D51,8,3)</f>
        <v>060</v>
      </c>
      <c r="H51" s="25">
        <v>48</v>
      </c>
      <c r="I51" s="25">
        <v>0.01509</v>
      </c>
      <c r="J51" s="157">
        <v>5.04123E-07</v>
      </c>
      <c r="K51" s="25">
        <v>2.99909</v>
      </c>
    </row>
    <row r="52" spans="1:11" ht="18.75" customHeight="1">
      <c r="A52" s="248" t="str">
        <f t="shared" si="0"/>
        <v>EK(MegaFlux)2510A1</v>
      </c>
      <c r="B52" s="28" t="str">
        <f t="shared" si="4"/>
        <v>EK(MegaFlux)2510A026</v>
      </c>
      <c r="C52" s="25">
        <v>1</v>
      </c>
      <c r="D52" s="25" t="s">
        <v>171</v>
      </c>
      <c r="E52" s="25" t="s">
        <v>96</v>
      </c>
      <c r="F52" s="25" t="str">
        <f t="shared" si="5"/>
        <v>2510A</v>
      </c>
      <c r="G52" s="25" t="str">
        <f t="shared" si="6"/>
        <v>026</v>
      </c>
      <c r="H52" s="25">
        <v>39</v>
      </c>
      <c r="I52" s="25">
        <v>0.02583</v>
      </c>
      <c r="J52" s="157">
        <v>3.16405E-07</v>
      </c>
      <c r="K52" s="25">
        <v>2.86994</v>
      </c>
    </row>
    <row r="53" spans="1:13" ht="18.75" customHeight="1">
      <c r="A53" s="248" t="str">
        <f t="shared" si="0"/>
        <v>EK(MegaFlux)2510A2</v>
      </c>
      <c r="B53" s="28" t="str">
        <f t="shared" si="4"/>
        <v>EK(MegaFlux)2510A040</v>
      </c>
      <c r="C53" s="25">
        <v>2</v>
      </c>
      <c r="D53" s="25" t="s">
        <v>172</v>
      </c>
      <c r="E53" s="25" t="s">
        <v>96</v>
      </c>
      <c r="F53" s="25" t="str">
        <f t="shared" si="5"/>
        <v>2510A</v>
      </c>
      <c r="G53" s="25" t="str">
        <f t="shared" si="6"/>
        <v>040</v>
      </c>
      <c r="H53" s="25">
        <v>52</v>
      </c>
      <c r="I53" s="25">
        <v>0.01941</v>
      </c>
      <c r="J53" s="157">
        <v>2.30679E-07</v>
      </c>
      <c r="K53" s="25">
        <v>3.02801</v>
      </c>
      <c r="M53" s="157"/>
    </row>
    <row r="54" spans="1:11" ht="18.75" customHeight="1">
      <c r="A54" s="248" t="str">
        <f t="shared" si="0"/>
        <v>EK(MegaFlux)2510A3</v>
      </c>
      <c r="B54" s="28" t="str">
        <f t="shared" si="4"/>
        <v>EK(MegaFlux)2510A060</v>
      </c>
      <c r="C54" s="25">
        <v>3</v>
      </c>
      <c r="D54" s="25" t="s">
        <v>173</v>
      </c>
      <c r="E54" s="25" t="s">
        <v>96</v>
      </c>
      <c r="F54" s="25" t="str">
        <f t="shared" si="5"/>
        <v>2510A</v>
      </c>
      <c r="G54" s="25" t="str">
        <f t="shared" si="6"/>
        <v>060</v>
      </c>
      <c r="H54" s="25">
        <v>70</v>
      </c>
      <c r="I54" s="25">
        <v>0.01444</v>
      </c>
      <c r="J54" s="157">
        <v>4.82518E-07</v>
      </c>
      <c r="K54" s="25">
        <v>2.99909</v>
      </c>
    </row>
    <row r="55" spans="1:11" ht="18.75" customHeight="1">
      <c r="A55" s="248" t="str">
        <f t="shared" si="0"/>
        <v>EK(MegaFlux)3015A1</v>
      </c>
      <c r="B55" s="28" t="str">
        <f t="shared" si="4"/>
        <v>EK(MegaFlux)3015A026</v>
      </c>
      <c r="C55" s="25">
        <v>1</v>
      </c>
      <c r="D55" s="25" t="s">
        <v>174</v>
      </c>
      <c r="E55" s="25" t="s">
        <v>96</v>
      </c>
      <c r="F55" s="25" t="str">
        <f t="shared" si="5"/>
        <v>3015A</v>
      </c>
      <c r="G55" s="25" t="str">
        <f t="shared" si="6"/>
        <v>026</v>
      </c>
      <c r="H55" s="25">
        <v>33</v>
      </c>
      <c r="I55" s="25">
        <v>0.03474</v>
      </c>
      <c r="J55" s="157">
        <v>4.2551E-07</v>
      </c>
      <c r="K55" s="25">
        <v>2.86994</v>
      </c>
    </row>
    <row r="56" spans="1:13" ht="18.75" customHeight="1">
      <c r="A56" s="248" t="str">
        <f t="shared" si="0"/>
        <v>EK(MegaFlux)3015A2</v>
      </c>
      <c r="B56" s="28" t="str">
        <f t="shared" si="4"/>
        <v>EK(MegaFlux)3015A040</v>
      </c>
      <c r="C56" s="25">
        <v>2</v>
      </c>
      <c r="D56" s="25" t="s">
        <v>175</v>
      </c>
      <c r="E56" s="25" t="s">
        <v>96</v>
      </c>
      <c r="F56" s="25" t="str">
        <f t="shared" si="5"/>
        <v>3015A</v>
      </c>
      <c r="G56" s="25" t="str">
        <f t="shared" si="6"/>
        <v>040</v>
      </c>
      <c r="H56" s="25">
        <v>46</v>
      </c>
      <c r="I56" s="25">
        <v>0.02524</v>
      </c>
      <c r="J56" s="157">
        <v>2.99882E-07</v>
      </c>
      <c r="K56" s="25">
        <v>3.02801</v>
      </c>
      <c r="M56" s="157"/>
    </row>
    <row r="57" spans="1:11" ht="18.75" customHeight="1">
      <c r="A57" s="248" t="str">
        <f t="shared" si="0"/>
        <v>EK(MegaFlux)3015A3</v>
      </c>
      <c r="B57" s="28" t="str">
        <f t="shared" si="4"/>
        <v>EK(MegaFlux)3015A060</v>
      </c>
      <c r="C57" s="25">
        <v>3</v>
      </c>
      <c r="D57" s="25" t="s">
        <v>176</v>
      </c>
      <c r="E57" s="25" t="s">
        <v>96</v>
      </c>
      <c r="F57" s="25" t="str">
        <f t="shared" si="5"/>
        <v>3015A</v>
      </c>
      <c r="G57" s="25" t="str">
        <f t="shared" si="6"/>
        <v>060</v>
      </c>
      <c r="H57" s="25">
        <v>71</v>
      </c>
      <c r="I57" s="25">
        <v>0.01631</v>
      </c>
      <c r="J57" s="157">
        <v>5.44778E-07</v>
      </c>
      <c r="K57" s="25">
        <v>2.99909</v>
      </c>
    </row>
    <row r="58" spans="1:11" ht="18.75" customHeight="1">
      <c r="A58" s="248" t="str">
        <f t="shared" si="0"/>
        <v>EK(MegaFlux)3515A1</v>
      </c>
      <c r="B58" s="28" t="str">
        <f t="shared" si="4"/>
        <v>EK(MegaFlux)3515A026</v>
      </c>
      <c r="C58" s="25">
        <v>1</v>
      </c>
      <c r="D58" s="25" t="s">
        <v>177</v>
      </c>
      <c r="E58" s="25" t="s">
        <v>96</v>
      </c>
      <c r="F58" s="25" t="str">
        <f t="shared" si="5"/>
        <v>3515A</v>
      </c>
      <c r="G58" s="25" t="str">
        <f t="shared" si="6"/>
        <v>026</v>
      </c>
      <c r="H58" s="25">
        <v>56</v>
      </c>
      <c r="I58" s="25">
        <v>0.02722</v>
      </c>
      <c r="J58" s="157">
        <v>3.33507E-07</v>
      </c>
      <c r="K58" s="25">
        <v>2.86994</v>
      </c>
    </row>
    <row r="59" spans="1:13" ht="18.75" customHeight="1">
      <c r="A59" s="248" t="str">
        <f t="shared" si="0"/>
        <v>EK(MegaFlux)3515A2</v>
      </c>
      <c r="B59" s="28" t="str">
        <f t="shared" si="4"/>
        <v>EK(MegaFlux)3515A040</v>
      </c>
      <c r="C59" s="25">
        <v>2</v>
      </c>
      <c r="D59" s="25" t="s">
        <v>178</v>
      </c>
      <c r="E59" s="25" t="s">
        <v>96</v>
      </c>
      <c r="F59" s="25" t="str">
        <f t="shared" si="5"/>
        <v>3515A</v>
      </c>
      <c r="G59" s="25" t="str">
        <f t="shared" si="6"/>
        <v>040</v>
      </c>
      <c r="H59" s="25">
        <v>75</v>
      </c>
      <c r="I59" s="25">
        <v>0.0206</v>
      </c>
      <c r="J59" s="157">
        <v>2.44802E-07</v>
      </c>
      <c r="K59" s="25">
        <v>3.02801</v>
      </c>
      <c r="M59" s="157"/>
    </row>
    <row r="60" spans="1:11" ht="18.75" customHeight="1">
      <c r="A60" s="248" t="str">
        <f t="shared" si="0"/>
        <v>EK(MegaFlux)3515A3</v>
      </c>
      <c r="B60" s="28" t="str">
        <f t="shared" si="4"/>
        <v>EK(MegaFlux)3515A060</v>
      </c>
      <c r="C60" s="25">
        <v>3</v>
      </c>
      <c r="D60" s="25" t="s">
        <v>179</v>
      </c>
      <c r="E60" s="25" t="s">
        <v>96</v>
      </c>
      <c r="F60" s="25" t="str">
        <f t="shared" si="5"/>
        <v>3515A</v>
      </c>
      <c r="G60" s="25" t="str">
        <f t="shared" si="6"/>
        <v>060</v>
      </c>
      <c r="H60" s="25">
        <v>102</v>
      </c>
      <c r="I60" s="25">
        <v>0.01509</v>
      </c>
      <c r="J60" s="157">
        <v>5.04123E-07</v>
      </c>
      <c r="K60" s="25">
        <v>2.99909</v>
      </c>
    </row>
    <row r="61" spans="1:11" ht="18.75" customHeight="1">
      <c r="A61" s="248" t="str">
        <f t="shared" si="0"/>
        <v>EK(MegaFlux)4117A1</v>
      </c>
      <c r="B61" s="28" t="str">
        <f t="shared" si="4"/>
        <v>EK(MegaFlux)4117A026</v>
      </c>
      <c r="C61" s="25">
        <v>1</v>
      </c>
      <c r="D61" s="25" t="s">
        <v>180</v>
      </c>
      <c r="E61" s="25" t="s">
        <v>96</v>
      </c>
      <c r="F61" s="25" t="str">
        <f t="shared" si="5"/>
        <v>4117A</v>
      </c>
      <c r="G61" s="25" t="str">
        <f t="shared" si="6"/>
        <v>026</v>
      </c>
      <c r="H61" s="25">
        <v>88</v>
      </c>
      <c r="I61" s="25">
        <v>0.02798</v>
      </c>
      <c r="J61" s="157">
        <v>3.42772E-07</v>
      </c>
      <c r="K61" s="25">
        <v>2.86994</v>
      </c>
    </row>
    <row r="62" spans="1:13" ht="18.75" customHeight="1">
      <c r="A62" s="248" t="str">
        <f t="shared" si="0"/>
        <v>EK(MegaFlux)4117A2</v>
      </c>
      <c r="B62" s="28" t="str">
        <f t="shared" si="4"/>
        <v>EK(MegaFlux)4117A040</v>
      </c>
      <c r="C62" s="25">
        <v>2</v>
      </c>
      <c r="D62" s="25" t="s">
        <v>181</v>
      </c>
      <c r="E62" s="25" t="s">
        <v>96</v>
      </c>
      <c r="F62" s="25" t="str">
        <f t="shared" si="5"/>
        <v>4117A</v>
      </c>
      <c r="G62" s="25" t="str">
        <f t="shared" si="6"/>
        <v>040</v>
      </c>
      <c r="H62" s="25">
        <v>119</v>
      </c>
      <c r="I62" s="25">
        <v>0.02103</v>
      </c>
      <c r="J62" s="157">
        <v>2.49902E-07</v>
      </c>
      <c r="K62" s="25">
        <v>3.02801</v>
      </c>
      <c r="L62" s="157"/>
      <c r="M62" s="157"/>
    </row>
    <row r="63" spans="1:11" ht="18.75" customHeight="1">
      <c r="A63" s="248" t="str">
        <f t="shared" si="0"/>
        <v>EK(MegaFlux)4117A3</v>
      </c>
      <c r="B63" s="28" t="str">
        <f t="shared" si="4"/>
        <v>EK(MegaFlux)4117A060</v>
      </c>
      <c r="C63" s="25">
        <v>3</v>
      </c>
      <c r="D63" s="25" t="s">
        <v>182</v>
      </c>
      <c r="E63" s="25" t="s">
        <v>96</v>
      </c>
      <c r="F63" s="25" t="str">
        <f t="shared" si="5"/>
        <v>4117A</v>
      </c>
      <c r="G63" s="25" t="str">
        <f t="shared" si="6"/>
        <v>060</v>
      </c>
      <c r="H63" s="25">
        <v>163</v>
      </c>
      <c r="I63" s="25">
        <v>0.01532</v>
      </c>
      <c r="J63" s="157">
        <v>5.11761E-07</v>
      </c>
      <c r="K63" s="25">
        <v>2.99909</v>
      </c>
    </row>
    <row r="64" spans="1:11" ht="18.75" customHeight="1">
      <c r="A64" s="248" t="str">
        <f t="shared" si="0"/>
        <v>EK(MegaFlux)4321A1</v>
      </c>
      <c r="B64" s="28" t="str">
        <f t="shared" si="4"/>
        <v>EK(MegaFlux)4321A026</v>
      </c>
      <c r="C64" s="25">
        <v>1</v>
      </c>
      <c r="D64" s="25" t="s">
        <v>183</v>
      </c>
      <c r="E64" s="25" t="s">
        <v>96</v>
      </c>
      <c r="F64" s="25" t="str">
        <f t="shared" si="5"/>
        <v>4321A</v>
      </c>
      <c r="G64" s="25" t="str">
        <f t="shared" si="6"/>
        <v>026</v>
      </c>
      <c r="H64" s="25">
        <v>56</v>
      </c>
      <c r="I64" s="25">
        <v>0.02963</v>
      </c>
      <c r="J64" s="157">
        <v>3.62935E-07</v>
      </c>
      <c r="K64" s="25">
        <v>2.86994</v>
      </c>
    </row>
    <row r="65" spans="1:13" ht="18.75" customHeight="1">
      <c r="A65" s="248" t="str">
        <f t="shared" si="0"/>
        <v>EK(MegaFlux)4321A2</v>
      </c>
      <c r="B65" s="28" t="str">
        <f t="shared" si="4"/>
        <v>EK(MegaFlux)4321A040</v>
      </c>
      <c r="C65" s="25">
        <v>2</v>
      </c>
      <c r="D65" s="25" t="s">
        <v>184</v>
      </c>
      <c r="E65" s="25" t="s">
        <v>96</v>
      </c>
      <c r="F65" s="25" t="str">
        <f t="shared" si="5"/>
        <v>4321A</v>
      </c>
      <c r="G65" s="25" t="str">
        <f t="shared" si="6"/>
        <v>040</v>
      </c>
      <c r="H65" s="25">
        <v>76</v>
      </c>
      <c r="I65" s="25">
        <v>0.02195</v>
      </c>
      <c r="J65" s="157">
        <v>2.60767E-07</v>
      </c>
      <c r="K65" s="25">
        <v>3.02801</v>
      </c>
      <c r="L65" s="157"/>
      <c r="M65" s="157"/>
    </row>
    <row r="66" spans="1:11" ht="18.75" customHeight="1">
      <c r="A66" s="248" t="str">
        <f t="shared" si="0"/>
        <v>EK(MegaFlux)4321A3</v>
      </c>
      <c r="B66" s="28" t="str">
        <f t="shared" si="4"/>
        <v>EK(MegaFlux)4321A060</v>
      </c>
      <c r="C66" s="25">
        <v>3</v>
      </c>
      <c r="D66" s="25" t="s">
        <v>185</v>
      </c>
      <c r="E66" s="25" t="s">
        <v>96</v>
      </c>
      <c r="F66" s="25" t="str">
        <f t="shared" si="5"/>
        <v>4321A</v>
      </c>
      <c r="G66" s="25" t="str">
        <f t="shared" si="6"/>
        <v>060</v>
      </c>
      <c r="H66" s="25">
        <v>105</v>
      </c>
      <c r="I66" s="25">
        <v>0.0158</v>
      </c>
      <c r="J66" s="157">
        <v>5.27754E-07</v>
      </c>
      <c r="K66" s="25">
        <v>2.99909</v>
      </c>
    </row>
    <row r="67" spans="1:11" ht="18.75" customHeight="1">
      <c r="A67" s="248" t="str">
        <f aca="true" t="shared" si="7" ref="A67:A87">E67&amp;F67&amp;C67</f>
        <v>EK(MegaFlux)4321B1</v>
      </c>
      <c r="B67" s="28" t="str">
        <f t="shared" si="4"/>
        <v>EK(MegaFlux)4321B026</v>
      </c>
      <c r="C67" s="25">
        <v>1</v>
      </c>
      <c r="D67" s="25" t="s">
        <v>186</v>
      </c>
      <c r="E67" s="25" t="s">
        <v>96</v>
      </c>
      <c r="F67" s="25" t="str">
        <f t="shared" si="5"/>
        <v>4321B</v>
      </c>
      <c r="G67" s="25" t="str">
        <f t="shared" si="6"/>
        <v>026</v>
      </c>
      <c r="H67" s="25">
        <v>80</v>
      </c>
      <c r="I67" s="25">
        <v>0.02963</v>
      </c>
      <c r="J67" s="157">
        <v>3.62935E-07</v>
      </c>
      <c r="K67" s="25">
        <v>2.86994</v>
      </c>
    </row>
    <row r="68" spans="1:13" ht="18.75" customHeight="1">
      <c r="A68" s="248" t="str">
        <f t="shared" si="7"/>
        <v>EK(MegaFlux)4321B2</v>
      </c>
      <c r="B68" s="28" t="str">
        <f t="shared" si="4"/>
        <v>EK(MegaFlux)4321B040</v>
      </c>
      <c r="C68" s="25">
        <v>2</v>
      </c>
      <c r="D68" s="25" t="s">
        <v>187</v>
      </c>
      <c r="E68" s="25" t="s">
        <v>96</v>
      </c>
      <c r="F68" s="25" t="str">
        <f t="shared" si="5"/>
        <v>4321B</v>
      </c>
      <c r="G68" s="25" t="str">
        <f t="shared" si="6"/>
        <v>040</v>
      </c>
      <c r="H68" s="25">
        <v>108</v>
      </c>
      <c r="I68" s="25">
        <v>0.02195</v>
      </c>
      <c r="J68" s="157">
        <v>2.60767E-07</v>
      </c>
      <c r="K68" s="25">
        <v>3.02801</v>
      </c>
      <c r="L68" s="157"/>
      <c r="M68" s="157"/>
    </row>
    <row r="69" spans="1:11" ht="18.75" customHeight="1">
      <c r="A69" s="248" t="str">
        <f t="shared" si="7"/>
        <v>EK(MegaFlux)4321B3</v>
      </c>
      <c r="B69" s="28" t="str">
        <f t="shared" si="4"/>
        <v>EK(MegaFlux)4321B060</v>
      </c>
      <c r="C69" s="25">
        <v>3</v>
      </c>
      <c r="D69" s="25" t="s">
        <v>188</v>
      </c>
      <c r="E69" s="25" t="s">
        <v>96</v>
      </c>
      <c r="F69" s="25" t="str">
        <f t="shared" si="5"/>
        <v>4321B</v>
      </c>
      <c r="G69" s="25" t="str">
        <f t="shared" si="6"/>
        <v>060</v>
      </c>
      <c r="H69" s="25">
        <v>150</v>
      </c>
      <c r="I69" s="25">
        <v>0.0158</v>
      </c>
      <c r="J69" s="157">
        <v>5.27754E-07</v>
      </c>
      <c r="K69" s="25">
        <v>2.99909</v>
      </c>
    </row>
    <row r="70" spans="1:11" ht="18.75" customHeight="1">
      <c r="A70" s="248" t="str">
        <f t="shared" si="7"/>
        <v>EK(MegaFlux)4321C1</v>
      </c>
      <c r="B70" s="28" t="str">
        <f t="shared" si="4"/>
        <v>EK(MegaFlux)4321C026</v>
      </c>
      <c r="C70" s="25">
        <v>1</v>
      </c>
      <c r="D70" s="25" t="s">
        <v>189</v>
      </c>
      <c r="E70" s="25" t="s">
        <v>96</v>
      </c>
      <c r="F70" s="25" t="str">
        <f t="shared" si="5"/>
        <v>4321C</v>
      </c>
      <c r="G70" s="25" t="str">
        <f t="shared" si="6"/>
        <v>026</v>
      </c>
      <c r="H70" s="25">
        <v>104</v>
      </c>
      <c r="I70" s="25">
        <v>0.02963</v>
      </c>
      <c r="J70" s="157">
        <v>3.62935E-07</v>
      </c>
      <c r="K70" s="25">
        <v>2.86994</v>
      </c>
    </row>
    <row r="71" spans="1:13" ht="18.75" customHeight="1">
      <c r="A71" s="248" t="str">
        <f t="shared" si="7"/>
        <v>EK(MegaFlux)4321C2</v>
      </c>
      <c r="B71" s="28" t="str">
        <f t="shared" si="4"/>
        <v>EK(MegaFlux)4321C040</v>
      </c>
      <c r="C71" s="25">
        <v>2</v>
      </c>
      <c r="D71" s="25" t="s">
        <v>190</v>
      </c>
      <c r="E71" s="25" t="s">
        <v>96</v>
      </c>
      <c r="F71" s="25" t="str">
        <f t="shared" si="5"/>
        <v>4321C</v>
      </c>
      <c r="G71" s="25" t="str">
        <f t="shared" si="6"/>
        <v>040</v>
      </c>
      <c r="H71" s="25">
        <v>140</v>
      </c>
      <c r="I71" s="25">
        <v>0.02195</v>
      </c>
      <c r="J71" s="157">
        <v>2.60767E-07</v>
      </c>
      <c r="K71" s="25">
        <v>3.02801</v>
      </c>
      <c r="M71" s="157"/>
    </row>
    <row r="72" spans="1:11" ht="18.75" customHeight="1">
      <c r="A72" s="248" t="str">
        <f t="shared" si="7"/>
        <v>EK(MegaFlux)4321C3</v>
      </c>
      <c r="B72" s="28" t="str">
        <f t="shared" si="4"/>
        <v>EK(MegaFlux)4321C060</v>
      </c>
      <c r="C72" s="25">
        <v>3</v>
      </c>
      <c r="D72" s="25" t="s">
        <v>191</v>
      </c>
      <c r="E72" s="25" t="s">
        <v>96</v>
      </c>
      <c r="F72" s="25" t="str">
        <f t="shared" si="5"/>
        <v>4321C</v>
      </c>
      <c r="G72" s="25" t="str">
        <f t="shared" si="6"/>
        <v>060</v>
      </c>
      <c r="H72" s="25">
        <v>194</v>
      </c>
      <c r="I72" s="25">
        <v>0.0158</v>
      </c>
      <c r="J72" s="157">
        <v>5.27754E-07</v>
      </c>
      <c r="K72" s="25">
        <v>2.99909</v>
      </c>
    </row>
    <row r="73" spans="1:14" ht="18.75" customHeight="1">
      <c r="A73" s="248" t="str">
        <f t="shared" si="7"/>
        <v>EK(MegaFlux)5528A1</v>
      </c>
      <c r="B73" s="28" t="str">
        <f t="shared" si="4"/>
        <v>EK(MegaFlux)5528A026</v>
      </c>
      <c r="C73" s="25">
        <v>1</v>
      </c>
      <c r="D73" s="25" t="s">
        <v>192</v>
      </c>
      <c r="E73" s="25" t="s">
        <v>96</v>
      </c>
      <c r="F73" s="25" t="str">
        <f t="shared" si="5"/>
        <v>5528A</v>
      </c>
      <c r="G73" s="25" t="str">
        <f t="shared" si="6"/>
        <v>026</v>
      </c>
      <c r="H73" s="25">
        <v>116</v>
      </c>
      <c r="I73" s="157">
        <v>0.03148</v>
      </c>
      <c r="J73" s="157">
        <v>3.85618E-07</v>
      </c>
      <c r="K73" s="25">
        <v>2.86994</v>
      </c>
      <c r="M73" s="157"/>
      <c r="N73" s="157"/>
    </row>
    <row r="74" spans="1:13" ht="18.75" customHeight="1">
      <c r="A74" s="248" t="str">
        <f t="shared" si="7"/>
        <v>EK(MegaFlux)5528A2</v>
      </c>
      <c r="B74" s="28" t="str">
        <f t="shared" si="4"/>
        <v>EK(MegaFlux)5528A040</v>
      </c>
      <c r="C74" s="25">
        <v>2</v>
      </c>
      <c r="D74" s="25" t="s">
        <v>193</v>
      </c>
      <c r="E74" s="25" t="s">
        <v>96</v>
      </c>
      <c r="F74" s="25" t="str">
        <f t="shared" si="5"/>
        <v>5528A</v>
      </c>
      <c r="G74" s="25" t="str">
        <f t="shared" si="6"/>
        <v>040</v>
      </c>
      <c r="H74" s="25">
        <v>157</v>
      </c>
      <c r="I74" s="25">
        <v>0.02294</v>
      </c>
      <c r="J74" s="157">
        <v>2.7262E-07</v>
      </c>
      <c r="K74" s="25">
        <v>3.02801</v>
      </c>
      <c r="M74" s="157"/>
    </row>
    <row r="75" spans="1:11" ht="18.75" customHeight="1">
      <c r="A75" s="248" t="str">
        <f t="shared" si="7"/>
        <v>EK(MegaFlux)5528A3</v>
      </c>
      <c r="B75" s="28" t="str">
        <f t="shared" si="4"/>
        <v>EK(MegaFlux)5528A060</v>
      </c>
      <c r="C75" s="25">
        <v>3</v>
      </c>
      <c r="D75" s="25" t="s">
        <v>194</v>
      </c>
      <c r="E75" s="25" t="s">
        <v>96</v>
      </c>
      <c r="F75" s="25" t="str">
        <f t="shared" si="5"/>
        <v>5528A</v>
      </c>
      <c r="G75" s="25" t="str">
        <f t="shared" si="6"/>
        <v>060</v>
      </c>
      <c r="H75" s="25">
        <v>219</v>
      </c>
      <c r="I75" s="25">
        <v>0.01657</v>
      </c>
      <c r="J75" s="157">
        <v>5.53709E-07</v>
      </c>
      <c r="K75" s="25">
        <v>2.99909</v>
      </c>
    </row>
    <row r="76" spans="1:11" ht="18.75" customHeight="1">
      <c r="A76" s="248" t="str">
        <f t="shared" si="7"/>
        <v>EK(MegaFlux)5528B1</v>
      </c>
      <c r="B76" s="28" t="str">
        <f t="shared" si="4"/>
        <v>EK(MegaFlux)5528B026</v>
      </c>
      <c r="C76" s="25">
        <v>1</v>
      </c>
      <c r="D76" s="25" t="s">
        <v>195</v>
      </c>
      <c r="E76" s="25" t="s">
        <v>96</v>
      </c>
      <c r="F76" s="25" t="str">
        <f t="shared" si="5"/>
        <v>5528B</v>
      </c>
      <c r="G76" s="25" t="str">
        <f t="shared" si="6"/>
        <v>026</v>
      </c>
      <c r="H76" s="25">
        <v>138</v>
      </c>
      <c r="I76" s="157">
        <v>0.03148</v>
      </c>
      <c r="J76" s="157">
        <v>3.85618E-07</v>
      </c>
      <c r="K76" s="25">
        <v>2.86994</v>
      </c>
    </row>
    <row r="77" spans="1:13" ht="18.75" customHeight="1">
      <c r="A77" s="248" t="str">
        <f t="shared" si="7"/>
        <v>EK(MegaFlux)5528B2</v>
      </c>
      <c r="B77" s="28" t="str">
        <f t="shared" si="4"/>
        <v>EK(MegaFlux)5528B040</v>
      </c>
      <c r="C77" s="25">
        <v>2</v>
      </c>
      <c r="D77" s="25" t="s">
        <v>196</v>
      </c>
      <c r="E77" s="25" t="s">
        <v>96</v>
      </c>
      <c r="F77" s="25" t="str">
        <f t="shared" si="5"/>
        <v>5528B</v>
      </c>
      <c r="G77" s="25" t="str">
        <f t="shared" si="6"/>
        <v>040</v>
      </c>
      <c r="H77" s="25">
        <v>187</v>
      </c>
      <c r="I77" s="25">
        <v>0.02294</v>
      </c>
      <c r="J77" s="157">
        <v>2.7262E-07</v>
      </c>
      <c r="K77" s="25">
        <v>3.02801</v>
      </c>
      <c r="M77" s="157"/>
    </row>
    <row r="78" spans="1:11" ht="18.75" customHeight="1">
      <c r="A78" s="248" t="str">
        <f t="shared" si="7"/>
        <v>EK(MegaFlux)5528B3</v>
      </c>
      <c r="B78" s="28" t="str">
        <f t="shared" si="4"/>
        <v>EK(MegaFlux)5528B060</v>
      </c>
      <c r="C78" s="25">
        <v>3</v>
      </c>
      <c r="D78" s="25" t="s">
        <v>197</v>
      </c>
      <c r="E78" s="25" t="s">
        <v>96</v>
      </c>
      <c r="F78" s="25" t="str">
        <f t="shared" si="5"/>
        <v>5528B</v>
      </c>
      <c r="G78" s="25" t="str">
        <f t="shared" si="6"/>
        <v>060</v>
      </c>
      <c r="H78" s="25">
        <v>261</v>
      </c>
      <c r="I78" s="25">
        <v>0.01657</v>
      </c>
      <c r="J78" s="157">
        <v>5.53709E-07</v>
      </c>
      <c r="K78" s="25">
        <v>2.99909</v>
      </c>
    </row>
    <row r="79" spans="1:11" ht="18.75" customHeight="1">
      <c r="A79" s="248" t="str">
        <f t="shared" si="7"/>
        <v>EK(MegaFlux)6533A1</v>
      </c>
      <c r="B79" s="28" t="str">
        <f t="shared" si="4"/>
        <v>EK(MegaFlux)6533A026</v>
      </c>
      <c r="C79" s="25">
        <v>1</v>
      </c>
      <c r="D79" s="25" t="s">
        <v>198</v>
      </c>
      <c r="E79" s="25" t="s">
        <v>96</v>
      </c>
      <c r="F79" s="25" t="str">
        <f t="shared" si="5"/>
        <v>6533A</v>
      </c>
      <c r="G79" s="25" t="str">
        <f t="shared" si="6"/>
        <v>026</v>
      </c>
      <c r="H79" s="25">
        <v>162</v>
      </c>
      <c r="I79" s="25">
        <v>0.02878</v>
      </c>
      <c r="J79" s="157">
        <v>3.52565E-07</v>
      </c>
      <c r="K79" s="25">
        <v>2.86994</v>
      </c>
    </row>
    <row r="80" spans="1:14" ht="18.75" customHeight="1">
      <c r="A80" s="248" t="str">
        <f t="shared" si="7"/>
        <v>EK(MegaFlux)6533A2</v>
      </c>
      <c r="B80" s="28" t="str">
        <f t="shared" si="4"/>
        <v>EK(MegaFlux)6533A040</v>
      </c>
      <c r="C80" s="25">
        <v>2</v>
      </c>
      <c r="D80" s="25" t="s">
        <v>199</v>
      </c>
      <c r="E80" s="25" t="s">
        <v>96</v>
      </c>
      <c r="F80" s="25" t="str">
        <f t="shared" si="5"/>
        <v>6533A</v>
      </c>
      <c r="G80" s="25" t="str">
        <f t="shared" si="6"/>
        <v>040</v>
      </c>
      <c r="H80" s="25">
        <v>230</v>
      </c>
      <c r="I80" s="25">
        <v>0.02019</v>
      </c>
      <c r="J80" s="157">
        <v>2.39906E-07</v>
      </c>
      <c r="K80" s="25">
        <v>3.02801</v>
      </c>
      <c r="M80" s="157"/>
      <c r="N80" s="157"/>
    </row>
    <row r="81" spans="1:11" ht="18.75" customHeight="1">
      <c r="A81" s="248" t="str">
        <f t="shared" si="7"/>
        <v>EK(MegaFlux)6533A3</v>
      </c>
      <c r="B81" s="28" t="str">
        <f t="shared" si="4"/>
        <v>EK(MegaFlux)6533A060</v>
      </c>
      <c r="C81" s="25">
        <v>3</v>
      </c>
      <c r="D81" s="25" t="s">
        <v>200</v>
      </c>
      <c r="E81" s="25" t="s">
        <v>96</v>
      </c>
      <c r="F81" s="25" t="str">
        <f t="shared" si="5"/>
        <v>6533A</v>
      </c>
      <c r="G81" s="25" t="str">
        <f t="shared" si="6"/>
        <v>060</v>
      </c>
      <c r="H81" s="25">
        <v>300</v>
      </c>
      <c r="I81" s="25">
        <v>0.01555</v>
      </c>
      <c r="J81" s="157">
        <v>5.19634E-07</v>
      </c>
      <c r="K81" s="25">
        <v>2.99909</v>
      </c>
    </row>
    <row r="82" spans="1:11" ht="18.75" customHeight="1">
      <c r="A82" s="248" t="str">
        <f t="shared" si="7"/>
        <v>EK(MegaFlux)7228A1</v>
      </c>
      <c r="B82" s="28" t="str">
        <f t="shared" si="4"/>
        <v>EK(MegaFlux)7228A026</v>
      </c>
      <c r="C82" s="25">
        <v>1</v>
      </c>
      <c r="D82" s="25" t="s">
        <v>201</v>
      </c>
      <c r="E82" s="25" t="s">
        <v>96</v>
      </c>
      <c r="F82" s="25" t="str">
        <f t="shared" si="5"/>
        <v>7228A</v>
      </c>
      <c r="G82" s="25" t="str">
        <f t="shared" si="6"/>
        <v>026</v>
      </c>
      <c r="H82" s="25">
        <v>130</v>
      </c>
      <c r="I82" s="25">
        <v>0.02555</v>
      </c>
      <c r="J82" s="25">
        <v>1.50234E-07</v>
      </c>
      <c r="K82" s="25">
        <v>3.05006</v>
      </c>
    </row>
    <row r="83" spans="1:14" ht="18.75" customHeight="1">
      <c r="A83" s="248" t="str">
        <f t="shared" si="7"/>
        <v>EK(MegaFlux)7228A2</v>
      </c>
      <c r="B83" s="28" t="str">
        <f t="shared" si="4"/>
        <v>EK(MegaFlux)7228A040</v>
      </c>
      <c r="C83" s="25">
        <v>2</v>
      </c>
      <c r="D83" s="25" t="s">
        <v>202</v>
      </c>
      <c r="E83" s="25" t="s">
        <v>96</v>
      </c>
      <c r="F83" s="25" t="str">
        <f t="shared" si="5"/>
        <v>7228A</v>
      </c>
      <c r="G83" s="25" t="str">
        <f t="shared" si="6"/>
        <v>040</v>
      </c>
      <c r="H83" s="25">
        <v>173</v>
      </c>
      <c r="I83" s="25">
        <v>0.01968</v>
      </c>
      <c r="J83" s="25">
        <v>2.33826E-07</v>
      </c>
      <c r="K83" s="25">
        <v>3.02801</v>
      </c>
      <c r="M83" s="157"/>
      <c r="N83" s="157"/>
    </row>
    <row r="84" spans="1:11" ht="18.75" customHeight="1">
      <c r="A84" s="248" t="str">
        <f t="shared" si="7"/>
        <v>EK(MegaFlux)7228A3</v>
      </c>
      <c r="B84" s="28" t="str">
        <f t="shared" si="4"/>
        <v>EK(MegaFlux)7228A060</v>
      </c>
      <c r="C84" s="25">
        <v>3</v>
      </c>
      <c r="D84" s="25" t="s">
        <v>203</v>
      </c>
      <c r="E84" s="25" t="s">
        <v>96</v>
      </c>
      <c r="F84" s="25" t="str">
        <f t="shared" si="5"/>
        <v>7228A</v>
      </c>
      <c r="G84" s="25" t="str">
        <f t="shared" si="6"/>
        <v>060</v>
      </c>
      <c r="H84" s="25">
        <v>236</v>
      </c>
      <c r="I84" s="25">
        <v>0.01446</v>
      </c>
      <c r="J84" s="25">
        <v>4.83208E-07</v>
      </c>
      <c r="K84" s="25">
        <v>2.99909</v>
      </c>
    </row>
    <row r="85" spans="1:13" ht="18.75" customHeight="1">
      <c r="A85" s="248" t="str">
        <f t="shared" si="7"/>
        <v>EK(MegaFlux)8038A1</v>
      </c>
      <c r="B85" s="28" t="str">
        <f t="shared" si="4"/>
        <v>EK(MegaFlux)8038A026</v>
      </c>
      <c r="C85" s="25">
        <v>1</v>
      </c>
      <c r="D85" s="25" t="s">
        <v>204</v>
      </c>
      <c r="E85" s="25" t="s">
        <v>96</v>
      </c>
      <c r="F85" s="25" t="str">
        <f t="shared" si="5"/>
        <v>8038A</v>
      </c>
      <c r="G85" s="25" t="str">
        <f t="shared" si="6"/>
        <v>026</v>
      </c>
      <c r="H85" s="25">
        <v>103</v>
      </c>
      <c r="I85" s="25">
        <v>0.02522</v>
      </c>
      <c r="J85" s="157">
        <v>1.48308E-07</v>
      </c>
      <c r="K85" s="25">
        <v>3.05006</v>
      </c>
      <c r="M85" s="157"/>
    </row>
    <row r="86" spans="1:14" ht="18.75" customHeight="1">
      <c r="A86" s="248" t="str">
        <f t="shared" si="7"/>
        <v>EK(MegaFlux)8038A2</v>
      </c>
      <c r="B86" s="28" t="str">
        <f t="shared" si="4"/>
        <v>EK(MegaFlux)8038A040</v>
      </c>
      <c r="C86" s="25">
        <v>2</v>
      </c>
      <c r="D86" s="25" t="s">
        <v>205</v>
      </c>
      <c r="E86" s="25" t="s">
        <v>96</v>
      </c>
      <c r="F86" s="25" t="str">
        <f t="shared" si="5"/>
        <v>8038A</v>
      </c>
      <c r="G86" s="25" t="str">
        <f t="shared" si="6"/>
        <v>040</v>
      </c>
      <c r="H86" s="25">
        <v>145</v>
      </c>
      <c r="I86" s="157">
        <v>0.01835</v>
      </c>
      <c r="J86" s="157">
        <v>2.18096E-07</v>
      </c>
      <c r="K86" s="25">
        <v>3.02801</v>
      </c>
      <c r="M86" s="157"/>
      <c r="N86" s="157"/>
    </row>
    <row r="87" spans="1:11" ht="18.75" customHeight="1">
      <c r="A87" s="248" t="str">
        <f t="shared" si="7"/>
        <v>EK(MegaFlux)8038A3</v>
      </c>
      <c r="B87" s="28" t="str">
        <f t="shared" si="4"/>
        <v>EK(MegaFlux)8038A060</v>
      </c>
      <c r="C87" s="25">
        <v>3</v>
      </c>
      <c r="D87" s="25" t="s">
        <v>206</v>
      </c>
      <c r="E87" s="25" t="s">
        <v>96</v>
      </c>
      <c r="F87" s="25" t="str">
        <f t="shared" si="5"/>
        <v>8038A</v>
      </c>
      <c r="G87" s="25" t="str">
        <f t="shared" si="6"/>
        <v>060</v>
      </c>
      <c r="H87" s="25">
        <v>190</v>
      </c>
      <c r="I87" s="157">
        <v>0.01404</v>
      </c>
      <c r="J87" s="157">
        <v>4.69114E-07</v>
      </c>
      <c r="K87" s="25">
        <v>2.99909</v>
      </c>
    </row>
    <row r="88" ht="18.75" customHeight="1">
      <c r="B88" s="28"/>
    </row>
    <row r="89" spans="2:13" ht="18.75" customHeight="1">
      <c r="B89" s="28"/>
      <c r="M89" s="157"/>
    </row>
    <row r="90" ht="18.75" customHeight="1">
      <c r="B90" s="28"/>
    </row>
    <row r="91" ht="18.75" customHeight="1">
      <c r="B91" s="28"/>
    </row>
    <row r="92" spans="2:13" ht="18.75" customHeight="1">
      <c r="B92" s="28"/>
      <c r="I92" s="157"/>
      <c r="M92" s="157"/>
    </row>
    <row r="93" ht="18.75" customHeight="1">
      <c r="B93" s="28"/>
    </row>
    <row r="94" ht="18.75" customHeight="1">
      <c r="B94" s="28"/>
    </row>
    <row r="95" ht="18.75" customHeight="1">
      <c r="B95" s="28"/>
    </row>
    <row r="96" ht="18.75" customHeight="1">
      <c r="B96" s="28"/>
    </row>
    <row r="97" ht="18.75" customHeight="1">
      <c r="B97" s="28"/>
    </row>
    <row r="98" ht="18.75" customHeight="1">
      <c r="B98" s="28"/>
    </row>
    <row r="99" ht="18.75" customHeight="1">
      <c r="B99" s="28"/>
    </row>
    <row r="100" ht="18.75" customHeight="1">
      <c r="B100" s="28"/>
    </row>
    <row r="101" ht="18.75" customHeight="1">
      <c r="B101" s="28"/>
    </row>
    <row r="102" ht="18.75" customHeight="1">
      <c r="B102" s="28"/>
    </row>
    <row r="103" ht="18.75" customHeight="1">
      <c r="B103" s="28"/>
    </row>
    <row r="104" ht="18.75" customHeight="1">
      <c r="B104" s="28"/>
    </row>
    <row r="105" ht="18.75" customHeight="1">
      <c r="B105" s="28"/>
    </row>
    <row r="106" ht="18.75" customHeight="1">
      <c r="B106" s="28"/>
    </row>
    <row r="107" ht="18.75" customHeight="1">
      <c r="B107" s="28"/>
    </row>
    <row r="108" ht="18.75" customHeight="1">
      <c r="B108" s="28"/>
    </row>
    <row r="109" ht="18.75" customHeight="1">
      <c r="B109" s="28"/>
    </row>
    <row r="110" ht="18.75" customHeight="1">
      <c r="B110" s="28"/>
    </row>
    <row r="111" ht="18.75" customHeight="1">
      <c r="B111" s="28"/>
    </row>
    <row r="112" ht="18.75" customHeight="1">
      <c r="B112" s="28"/>
    </row>
    <row r="113" ht="18.75" customHeight="1">
      <c r="B113" s="28"/>
    </row>
    <row r="114" ht="18.75" customHeight="1">
      <c r="B114" s="28"/>
    </row>
    <row r="115" ht="18.75" customHeight="1">
      <c r="B115" s="28"/>
    </row>
    <row r="116" ht="18.75" customHeight="1">
      <c r="B116" s="28"/>
    </row>
    <row r="117" ht="18.75" customHeight="1">
      <c r="B117" s="28"/>
    </row>
    <row r="118" ht="18.75" customHeight="1">
      <c r="B118" s="28"/>
    </row>
    <row r="119" ht="18.75" customHeight="1">
      <c r="B119" s="28"/>
    </row>
    <row r="120" ht="18.75" customHeight="1">
      <c r="B120" s="28"/>
    </row>
    <row r="121" ht="18.75" customHeight="1">
      <c r="B121" s="28"/>
    </row>
    <row r="122" ht="18.75" customHeight="1">
      <c r="B122" s="28"/>
    </row>
    <row r="123" ht="18.75" customHeight="1">
      <c r="B123" s="28"/>
    </row>
    <row r="124" ht="18.75" customHeight="1">
      <c r="B124" s="28"/>
    </row>
    <row r="125" ht="18.75" customHeight="1">
      <c r="B125" s="28"/>
    </row>
    <row r="126" ht="18.75" customHeight="1">
      <c r="B126" s="28"/>
    </row>
    <row r="127" ht="18.75" customHeight="1">
      <c r="B127" s="28"/>
    </row>
    <row r="128" ht="18.75" customHeight="1">
      <c r="B128" s="28"/>
    </row>
    <row r="129" ht="18.75" customHeight="1">
      <c r="B129" s="28"/>
    </row>
    <row r="130" ht="18.75" customHeight="1">
      <c r="B130" s="28"/>
    </row>
    <row r="131" ht="18.75" customHeight="1">
      <c r="B131" s="28"/>
    </row>
    <row r="132" ht="18.75" customHeight="1">
      <c r="B132" s="28"/>
    </row>
    <row r="133" ht="18.75" customHeight="1">
      <c r="B133" s="28"/>
    </row>
    <row r="134" ht="18.75" customHeight="1">
      <c r="B134" s="28"/>
    </row>
    <row r="135" ht="18.75" customHeight="1">
      <c r="B135" s="28"/>
    </row>
    <row r="136" ht="18.75" customHeight="1">
      <c r="B136" s="28"/>
    </row>
    <row r="137" ht="18.75" customHeight="1">
      <c r="B137" s="28"/>
    </row>
    <row r="138" ht="18.75" customHeight="1">
      <c r="B138" s="28"/>
    </row>
    <row r="139" ht="18.75" customHeight="1">
      <c r="B139" s="28"/>
    </row>
    <row r="140" ht="18.75" customHeight="1">
      <c r="B140" s="28"/>
    </row>
    <row r="141" ht="18.75" customHeight="1">
      <c r="B141" s="28"/>
    </row>
    <row r="142" ht="18.75" customHeight="1">
      <c r="B142" s="28"/>
    </row>
    <row r="143" ht="18.75" customHeight="1">
      <c r="B143" s="28"/>
    </row>
    <row r="144" ht="18.75" customHeight="1">
      <c r="B144" s="28"/>
    </row>
    <row r="145" ht="18.75" customHeight="1">
      <c r="B145" s="28"/>
    </row>
    <row r="146" ht="18.75" customHeight="1">
      <c r="B146" s="28"/>
    </row>
    <row r="147" ht="18.75" customHeight="1">
      <c r="B147" s="28"/>
    </row>
    <row r="148" ht="18.75" customHeight="1">
      <c r="B148" s="28"/>
    </row>
    <row r="149" ht="18.75" customHeight="1">
      <c r="B149" s="28"/>
    </row>
    <row r="150" ht="18.75" customHeight="1">
      <c r="B150" s="28"/>
    </row>
    <row r="151" ht="18.75" customHeight="1">
      <c r="B151" s="28"/>
    </row>
    <row r="152" ht="18.75" customHeight="1">
      <c r="B152" s="28"/>
    </row>
    <row r="153" ht="18.75" customHeight="1">
      <c r="B153" s="28"/>
    </row>
    <row r="154" ht="18.75" customHeight="1">
      <c r="B154" s="28"/>
    </row>
    <row r="155" ht="18.75" customHeight="1">
      <c r="B155" s="28"/>
    </row>
    <row r="156" ht="18.75" customHeight="1">
      <c r="B156" s="28"/>
    </row>
    <row r="157" ht="18.75" customHeight="1">
      <c r="B157" s="28"/>
    </row>
    <row r="158" ht="18.75" customHeight="1">
      <c r="B158" s="28"/>
    </row>
    <row r="159" ht="18.75" customHeight="1">
      <c r="B159" s="28"/>
    </row>
    <row r="160" ht="18.75" customHeight="1">
      <c r="B160" s="28"/>
    </row>
    <row r="161" ht="18.75" customHeight="1">
      <c r="B161" s="28"/>
    </row>
    <row r="162" ht="18.75" customHeight="1">
      <c r="B162" s="28"/>
    </row>
    <row r="163" ht="18.75" customHeight="1">
      <c r="B163" s="28"/>
    </row>
    <row r="164" ht="18.75" customHeight="1">
      <c r="B164" s="28"/>
    </row>
    <row r="165" ht="18.75" customHeight="1">
      <c r="B165" s="28"/>
    </row>
    <row r="166" ht="18.75" customHeight="1">
      <c r="B166" s="28"/>
    </row>
    <row r="167" ht="18.75" customHeight="1">
      <c r="B167" s="28"/>
    </row>
    <row r="168" ht="18.75" customHeight="1">
      <c r="B168" s="28"/>
    </row>
    <row r="169" ht="18.75" customHeight="1">
      <c r="B169" s="28"/>
    </row>
    <row r="170" ht="18.75" customHeight="1">
      <c r="B170" s="28"/>
    </row>
    <row r="171" ht="18.75" customHeight="1">
      <c r="B171" s="28"/>
    </row>
    <row r="172" ht="18.75" customHeight="1">
      <c r="B172" s="28"/>
    </row>
    <row r="173" ht="18.75" customHeight="1">
      <c r="B173" s="28"/>
    </row>
    <row r="174" ht="18.75" customHeight="1">
      <c r="B174" s="28"/>
    </row>
    <row r="175" ht="18.75" customHeight="1">
      <c r="B175" s="28"/>
    </row>
    <row r="176" ht="18.75" customHeight="1">
      <c r="B176" s="28"/>
    </row>
    <row r="177" ht="18.75" customHeight="1">
      <c r="B177" s="28"/>
    </row>
    <row r="178" ht="18.75" customHeight="1">
      <c r="B178" s="28"/>
    </row>
    <row r="179" ht="18.75" customHeight="1">
      <c r="B179" s="28"/>
    </row>
    <row r="180" ht="18.75" customHeight="1">
      <c r="B180" s="28"/>
    </row>
    <row r="181" ht="18.75" customHeight="1">
      <c r="B181" s="28"/>
    </row>
    <row r="182" ht="18.75" customHeight="1">
      <c r="B182" s="28"/>
    </row>
    <row r="183" ht="18.75" customHeight="1">
      <c r="B183" s="28"/>
    </row>
    <row r="184" ht="18.75" customHeight="1">
      <c r="B184" s="28"/>
    </row>
    <row r="185" ht="18.75" customHeight="1">
      <c r="B185" s="28"/>
    </row>
    <row r="186" ht="18.75" customHeight="1">
      <c r="B186" s="28"/>
    </row>
    <row r="187" ht="18.75" customHeight="1">
      <c r="B187" s="28"/>
    </row>
    <row r="188" ht="18.75" customHeight="1">
      <c r="B188" s="28"/>
    </row>
    <row r="189" ht="18.75" customHeight="1">
      <c r="B189" s="28"/>
    </row>
    <row r="190" ht="18.75" customHeight="1">
      <c r="B190" s="28"/>
    </row>
    <row r="191" ht="18.75" customHeight="1">
      <c r="B191" s="28"/>
    </row>
    <row r="192" ht="18.75" customHeight="1">
      <c r="B192" s="28"/>
    </row>
    <row r="193" ht="18.75" customHeight="1">
      <c r="B193" s="28"/>
    </row>
    <row r="194" ht="18.75" customHeight="1">
      <c r="B194" s="28"/>
    </row>
    <row r="195" ht="18.75" customHeight="1">
      <c r="B195" s="28"/>
    </row>
    <row r="196" ht="18.75" customHeight="1">
      <c r="B196" s="28"/>
    </row>
    <row r="197" ht="18.75" customHeight="1">
      <c r="B197" s="28"/>
    </row>
    <row r="198" ht="18.75" customHeight="1">
      <c r="B198" s="28"/>
    </row>
    <row r="199" ht="18.75" customHeight="1">
      <c r="B199" s="28"/>
    </row>
    <row r="200" ht="18.75" customHeight="1">
      <c r="B200" s="28"/>
    </row>
    <row r="201" ht="18.75" customHeight="1">
      <c r="B201" s="28"/>
    </row>
    <row r="202" ht="18.75" customHeight="1">
      <c r="B202" s="28"/>
    </row>
    <row r="203" ht="18.75" customHeight="1">
      <c r="B203" s="28"/>
    </row>
    <row r="204" ht="18.75" customHeight="1">
      <c r="B204" s="28"/>
    </row>
    <row r="205" ht="18.75" customHeight="1">
      <c r="B205" s="28"/>
    </row>
    <row r="206" ht="18.75" customHeight="1">
      <c r="B206" s="28"/>
    </row>
    <row r="207" ht="18.75" customHeight="1">
      <c r="B207" s="28"/>
    </row>
    <row r="208" ht="18.75" customHeight="1">
      <c r="B208" s="28"/>
    </row>
    <row r="209" ht="18.75" customHeight="1">
      <c r="B209" s="28"/>
    </row>
    <row r="210" ht="18.75" customHeight="1">
      <c r="B210" s="28"/>
    </row>
    <row r="211" ht="18.75" customHeight="1">
      <c r="B211" s="28"/>
    </row>
    <row r="212" ht="18.75" customHeight="1">
      <c r="B212" s="28"/>
    </row>
    <row r="213" ht="18.75" customHeight="1">
      <c r="B213" s="28"/>
    </row>
    <row r="214" ht="18.75" customHeight="1">
      <c r="B214" s="28"/>
    </row>
    <row r="215" ht="18.75" customHeight="1">
      <c r="B215" s="28"/>
    </row>
    <row r="216" ht="18.75" customHeight="1">
      <c r="B216" s="28"/>
    </row>
    <row r="217" ht="18.75" customHeight="1">
      <c r="B217" s="28"/>
    </row>
    <row r="218" ht="18.75" customHeight="1">
      <c r="B218" s="28"/>
    </row>
    <row r="219" ht="18.75" customHeight="1">
      <c r="B219" s="28"/>
    </row>
    <row r="220" ht="18.75" customHeight="1">
      <c r="B220" s="28"/>
    </row>
    <row r="221" ht="18.75" customHeight="1">
      <c r="B221" s="28"/>
    </row>
    <row r="222" ht="18.75" customHeight="1">
      <c r="B222" s="28"/>
    </row>
    <row r="223" ht="18.75" customHeight="1">
      <c r="B223" s="28"/>
    </row>
    <row r="224" ht="18.75" customHeight="1">
      <c r="B224" s="28"/>
    </row>
    <row r="225" ht="18.75" customHeight="1">
      <c r="B225" s="28"/>
    </row>
    <row r="226" ht="18.75" customHeight="1">
      <c r="B226" s="28"/>
    </row>
    <row r="227" ht="18.75" customHeight="1">
      <c r="B227" s="28"/>
    </row>
    <row r="228" ht="18.75" customHeight="1">
      <c r="B228" s="28"/>
    </row>
    <row r="229" ht="18.75" customHeight="1">
      <c r="B229" s="28"/>
    </row>
    <row r="230" ht="18.75" customHeight="1">
      <c r="B230" s="28"/>
    </row>
    <row r="231" ht="18.75" customHeight="1">
      <c r="B231" s="28"/>
    </row>
    <row r="232" ht="18.75" customHeight="1">
      <c r="B232" s="28"/>
    </row>
    <row r="233" ht="18.75" customHeight="1">
      <c r="B233" s="28"/>
    </row>
    <row r="234" ht="18.75" customHeight="1">
      <c r="B234" s="28"/>
    </row>
    <row r="235" ht="18.75" customHeight="1">
      <c r="B235" s="28"/>
    </row>
    <row r="236" ht="18.75" customHeight="1">
      <c r="B236" s="28"/>
    </row>
    <row r="237" ht="18.75" customHeight="1">
      <c r="B237" s="28"/>
    </row>
    <row r="238" ht="18.75" customHeight="1">
      <c r="B238" s="28"/>
    </row>
    <row r="239" ht="18.75" customHeight="1">
      <c r="B239" s="28"/>
    </row>
    <row r="240" ht="18.75" customHeight="1">
      <c r="B240" s="28"/>
    </row>
    <row r="241" ht="18.75" customHeight="1">
      <c r="B241" s="28"/>
    </row>
    <row r="242" ht="18.75" customHeight="1">
      <c r="B242" s="28"/>
    </row>
    <row r="243" ht="18.75" customHeight="1">
      <c r="B243" s="28"/>
    </row>
    <row r="244" ht="18.75" customHeight="1">
      <c r="B244" s="28"/>
    </row>
    <row r="245" ht="18.75" customHeight="1">
      <c r="B245" s="28"/>
    </row>
    <row r="246" ht="18.75" customHeight="1">
      <c r="B246" s="28"/>
    </row>
    <row r="247" ht="18.75" customHeight="1">
      <c r="B247" s="28"/>
    </row>
    <row r="248" ht="18.75" customHeight="1">
      <c r="B248" s="28"/>
    </row>
    <row r="249" ht="18.75" customHeight="1">
      <c r="B249" s="28"/>
    </row>
    <row r="250" ht="18.75" customHeight="1">
      <c r="B250" s="28"/>
    </row>
    <row r="251" ht="18.75" customHeight="1">
      <c r="B251" s="28"/>
    </row>
    <row r="252" ht="18.75" customHeight="1">
      <c r="B252" s="28"/>
    </row>
    <row r="253" ht="18.75" customHeight="1">
      <c r="B253" s="28"/>
    </row>
    <row r="254" ht="18.75" customHeight="1">
      <c r="B254" s="28"/>
    </row>
    <row r="255" ht="18.75" customHeight="1">
      <c r="B255" s="28"/>
    </row>
    <row r="256" ht="18.75" customHeight="1">
      <c r="B256" s="28"/>
    </row>
    <row r="257" ht="18.75" customHeight="1">
      <c r="B257" s="28"/>
    </row>
    <row r="258" ht="18.75" customHeight="1">
      <c r="B258" s="28"/>
    </row>
    <row r="259" ht="18.75" customHeight="1">
      <c r="B259" s="28"/>
    </row>
    <row r="260" ht="18.75" customHeight="1">
      <c r="B260" s="28"/>
    </row>
    <row r="261" ht="18.75" customHeight="1">
      <c r="B261" s="28"/>
    </row>
    <row r="262" ht="18.75" customHeight="1">
      <c r="B262" s="28"/>
    </row>
    <row r="263" ht="18.75" customHeight="1">
      <c r="B263" s="28"/>
    </row>
    <row r="264" ht="18.75" customHeight="1">
      <c r="B264" s="28"/>
    </row>
    <row r="265" ht="18.75" customHeight="1">
      <c r="B265" s="28"/>
    </row>
    <row r="266" ht="18.75" customHeight="1">
      <c r="B266" s="28"/>
    </row>
    <row r="267" ht="18.75" customHeight="1">
      <c r="B267" s="28"/>
    </row>
    <row r="268" ht="18.75" customHeight="1">
      <c r="B268" s="28"/>
    </row>
    <row r="269" ht="18.75" customHeight="1">
      <c r="B269" s="28"/>
    </row>
    <row r="270" ht="18.75" customHeight="1">
      <c r="B270" s="28"/>
    </row>
    <row r="271" ht="18.75" customHeight="1">
      <c r="B271" s="28"/>
    </row>
    <row r="272" ht="18.75" customHeight="1">
      <c r="B272" s="28"/>
    </row>
    <row r="273" ht="18.75" customHeight="1">
      <c r="B273" s="28"/>
    </row>
    <row r="274" ht="18.75" customHeight="1">
      <c r="B274" s="28"/>
    </row>
    <row r="275" ht="18.75" customHeight="1">
      <c r="B275" s="28"/>
    </row>
    <row r="276" ht="18.75" customHeight="1">
      <c r="B276" s="28"/>
    </row>
    <row r="277" ht="18.75" customHeight="1">
      <c r="B277" s="28"/>
    </row>
    <row r="278" ht="18.75" customHeight="1">
      <c r="B278" s="28"/>
    </row>
    <row r="279" ht="18.75" customHeight="1">
      <c r="B279" s="28"/>
    </row>
    <row r="280" ht="18.75" customHeight="1">
      <c r="B280" s="28"/>
    </row>
    <row r="281" ht="18.75" customHeight="1">
      <c r="B281" s="28"/>
    </row>
    <row r="282" ht="18.75" customHeight="1">
      <c r="B282" s="28"/>
    </row>
    <row r="283" ht="18.75" customHeight="1">
      <c r="B283" s="28"/>
    </row>
    <row r="284" ht="18.75" customHeight="1">
      <c r="B284" s="28"/>
    </row>
    <row r="285" ht="18.75" customHeight="1">
      <c r="B285" s="28"/>
    </row>
    <row r="286" ht="18.75" customHeight="1">
      <c r="B286" s="28"/>
    </row>
    <row r="287" ht="18.75" customHeight="1">
      <c r="B287" s="28"/>
    </row>
    <row r="288" ht="18.75" customHeight="1">
      <c r="B288" s="28"/>
    </row>
    <row r="289" ht="18.75" customHeight="1">
      <c r="B289" s="28"/>
    </row>
    <row r="290" ht="18.75" customHeight="1">
      <c r="B290" s="28"/>
    </row>
    <row r="291" ht="18.75" customHeight="1">
      <c r="B291" s="28"/>
    </row>
    <row r="292" ht="18.75" customHeight="1">
      <c r="B292" s="28"/>
    </row>
    <row r="293" ht="18.75" customHeight="1">
      <c r="B293" s="28"/>
    </row>
    <row r="294" ht="18.75" customHeight="1">
      <c r="B294" s="28"/>
    </row>
    <row r="295" ht="18.75" customHeight="1">
      <c r="B295" s="28"/>
    </row>
    <row r="296" ht="18.75" customHeight="1">
      <c r="B296" s="28"/>
    </row>
    <row r="297" ht="18.75" customHeight="1">
      <c r="B297" s="28"/>
    </row>
    <row r="298" ht="18.75" customHeight="1">
      <c r="B298" s="28"/>
    </row>
    <row r="299" ht="18.75" customHeight="1">
      <c r="B299" s="28"/>
    </row>
    <row r="300" ht="18.75" customHeight="1">
      <c r="B300" s="28"/>
    </row>
    <row r="301" ht="18.75" customHeight="1">
      <c r="B301" s="28"/>
    </row>
    <row r="302" ht="18.75" customHeight="1">
      <c r="B302" s="28"/>
    </row>
    <row r="303" ht="18.75" customHeight="1">
      <c r="B303" s="28"/>
    </row>
    <row r="304" ht="18.75" customHeight="1">
      <c r="B304" s="28"/>
    </row>
    <row r="305" ht="18.75" customHeight="1">
      <c r="B305" s="28"/>
    </row>
    <row r="306" ht="18.75" customHeight="1">
      <c r="B306" s="28"/>
    </row>
    <row r="307" ht="18.75" customHeight="1">
      <c r="B307" s="28"/>
    </row>
    <row r="308" ht="18.75" customHeight="1">
      <c r="B308" s="28"/>
    </row>
    <row r="309" ht="18.75" customHeight="1">
      <c r="B309" s="28"/>
    </row>
    <row r="310" ht="18.75" customHeight="1">
      <c r="B310" s="28"/>
    </row>
    <row r="311" ht="18.75" customHeight="1">
      <c r="B311" s="28"/>
    </row>
    <row r="312" ht="18.75" customHeight="1">
      <c r="B312" s="28"/>
    </row>
    <row r="313" ht="18.75" customHeight="1">
      <c r="B313" s="28"/>
    </row>
    <row r="314" ht="18.75" customHeight="1">
      <c r="B314" s="28"/>
    </row>
    <row r="315" ht="18.75" customHeight="1">
      <c r="B315" s="28"/>
    </row>
    <row r="316" ht="18.75" customHeight="1">
      <c r="B316" s="28"/>
    </row>
    <row r="317" ht="18.75" customHeight="1">
      <c r="B317" s="28"/>
    </row>
    <row r="318" ht="18.75" customHeight="1">
      <c r="B318" s="28"/>
    </row>
    <row r="319" ht="18.75" customHeight="1">
      <c r="B319" s="28"/>
    </row>
    <row r="320" ht="18.75" customHeight="1">
      <c r="B320" s="28"/>
    </row>
    <row r="321" ht="18.75" customHeight="1">
      <c r="B321" s="28"/>
    </row>
    <row r="322" ht="18.75" customHeight="1">
      <c r="B322" s="28"/>
    </row>
    <row r="323" ht="18.75" customHeight="1">
      <c r="B323" s="28"/>
    </row>
    <row r="324" ht="18.75" customHeight="1">
      <c r="B324" s="28"/>
    </row>
    <row r="325" ht="18.75" customHeight="1">
      <c r="B325" s="28"/>
    </row>
    <row r="326" ht="18.75" customHeight="1">
      <c r="B326" s="28"/>
    </row>
    <row r="327" ht="18.75" customHeight="1">
      <c r="B327" s="28"/>
    </row>
    <row r="328" ht="18.75" customHeight="1">
      <c r="B328" s="28"/>
    </row>
    <row r="329" ht="18.75" customHeight="1">
      <c r="B329" s="28"/>
    </row>
    <row r="330" ht="18.75" customHeight="1">
      <c r="B330" s="28"/>
    </row>
    <row r="331" ht="18.75" customHeight="1">
      <c r="B331" s="28"/>
    </row>
    <row r="332" ht="18.75" customHeight="1">
      <c r="B332" s="28"/>
    </row>
    <row r="333" ht="18.75" customHeight="1">
      <c r="B333" s="28"/>
    </row>
    <row r="334" ht="18.75" customHeight="1">
      <c r="B334" s="28"/>
    </row>
    <row r="335" ht="18.75" customHeight="1">
      <c r="B335" s="28"/>
    </row>
    <row r="336" ht="18.75" customHeight="1">
      <c r="B336" s="28"/>
    </row>
    <row r="337" ht="18.75" customHeight="1">
      <c r="B337" s="28"/>
    </row>
    <row r="338" ht="18.75" customHeight="1">
      <c r="B338" s="28"/>
    </row>
    <row r="339" ht="18.75" customHeight="1">
      <c r="B339" s="28"/>
    </row>
    <row r="340" ht="18.75" customHeight="1">
      <c r="B340" s="28"/>
    </row>
    <row r="341" ht="18.75" customHeight="1">
      <c r="B341" s="28"/>
    </row>
    <row r="342" ht="18.75" customHeight="1">
      <c r="B342" s="28"/>
    </row>
    <row r="343" ht="18.75" customHeight="1">
      <c r="B343" s="28"/>
    </row>
    <row r="344" ht="18.75" customHeight="1">
      <c r="B344" s="28"/>
    </row>
    <row r="345" ht="18.75" customHeight="1">
      <c r="B345" s="28"/>
    </row>
    <row r="346" ht="18.75" customHeight="1">
      <c r="B346" s="28"/>
    </row>
    <row r="347" ht="18.75" customHeight="1">
      <c r="B347" s="28"/>
    </row>
    <row r="348" ht="18.75" customHeight="1">
      <c r="B348" s="28"/>
    </row>
    <row r="349" ht="18.75" customHeight="1">
      <c r="B349" s="28"/>
    </row>
    <row r="350" ht="18.75" customHeight="1">
      <c r="B350" s="28"/>
    </row>
    <row r="351" ht="18.75" customHeight="1">
      <c r="B351" s="28"/>
    </row>
    <row r="352" ht="18.75" customHeight="1">
      <c r="B352" s="28"/>
    </row>
    <row r="353" ht="18.75" customHeight="1">
      <c r="B353" s="28"/>
    </row>
    <row r="354" ht="18.75" customHeight="1">
      <c r="B354" s="28"/>
    </row>
    <row r="355" ht="18.75" customHeight="1">
      <c r="B355" s="28"/>
    </row>
    <row r="356" ht="18.75" customHeight="1">
      <c r="B356" s="28"/>
    </row>
    <row r="357" ht="18.75" customHeight="1">
      <c r="B357" s="28"/>
    </row>
    <row r="358" ht="18.75" customHeight="1">
      <c r="B358" s="28"/>
    </row>
    <row r="359" ht="18.75" customHeight="1">
      <c r="B359" s="28"/>
    </row>
    <row r="360" ht="18.75" customHeight="1">
      <c r="B360" s="28"/>
    </row>
    <row r="361" ht="18.75" customHeight="1">
      <c r="B361" s="28"/>
    </row>
    <row r="362" ht="18.75" customHeight="1">
      <c r="B362" s="28"/>
    </row>
    <row r="363" ht="18.75" customHeight="1">
      <c r="B363" s="28"/>
    </row>
    <row r="364" ht="18.75" customHeight="1">
      <c r="B364" s="28"/>
    </row>
    <row r="365" ht="18.75" customHeight="1">
      <c r="B365" s="28"/>
    </row>
    <row r="366" ht="18.75" customHeight="1">
      <c r="B366" s="28"/>
    </row>
    <row r="367" ht="18.75" customHeight="1">
      <c r="B367" s="28"/>
    </row>
    <row r="368" ht="18.75" customHeight="1">
      <c r="B368" s="28"/>
    </row>
    <row r="369" ht="18.75" customHeight="1">
      <c r="B369" s="28"/>
    </row>
    <row r="370" ht="18.75" customHeight="1">
      <c r="B370" s="28"/>
    </row>
    <row r="371" ht="18.75" customHeight="1">
      <c r="B371" s="28"/>
    </row>
    <row r="372" ht="18.75" customHeight="1">
      <c r="B372" s="28"/>
    </row>
    <row r="373" ht="18.75" customHeight="1">
      <c r="B373" s="28"/>
    </row>
    <row r="374" ht="18.75" customHeight="1">
      <c r="B374" s="28"/>
    </row>
    <row r="375" ht="18.75" customHeight="1">
      <c r="B375" s="28"/>
    </row>
    <row r="376" ht="18.75" customHeight="1">
      <c r="B376" s="28"/>
    </row>
    <row r="377" ht="18.75" customHeight="1">
      <c r="B377" s="28"/>
    </row>
    <row r="378" ht="18.75" customHeight="1">
      <c r="B378" s="28"/>
    </row>
    <row r="379" ht="18.75" customHeight="1">
      <c r="B379" s="28"/>
    </row>
    <row r="380" ht="18.75" customHeight="1">
      <c r="B380" s="28"/>
    </row>
    <row r="381" ht="18.75" customHeight="1">
      <c r="B381" s="28"/>
    </row>
    <row r="382" ht="18.75" customHeight="1">
      <c r="B382" s="28"/>
    </row>
    <row r="383" ht="18.75" customHeight="1">
      <c r="B383" s="28"/>
    </row>
    <row r="384" ht="18.75" customHeight="1">
      <c r="B384" s="28"/>
    </row>
    <row r="385" ht="18.75" customHeight="1">
      <c r="B385" s="28"/>
    </row>
    <row r="386" ht="18.75" customHeight="1">
      <c r="B386" s="28"/>
    </row>
    <row r="387" ht="18.75" customHeight="1">
      <c r="B387" s="28"/>
    </row>
    <row r="388" ht="18.75" customHeight="1">
      <c r="B388" s="28"/>
    </row>
    <row r="389" ht="18.75" customHeight="1">
      <c r="B389" s="28"/>
    </row>
    <row r="390" ht="18.75" customHeight="1">
      <c r="B390" s="28"/>
    </row>
    <row r="391" ht="18.75" customHeight="1">
      <c r="B391" s="28"/>
    </row>
    <row r="392" ht="18.75" customHeight="1">
      <c r="B392" s="28"/>
    </row>
    <row r="393" ht="18.75" customHeight="1">
      <c r="B393" s="28"/>
    </row>
    <row r="394" ht="18.75" customHeight="1">
      <c r="B394" s="28"/>
    </row>
    <row r="395" ht="18.75" customHeight="1">
      <c r="B395" s="28"/>
    </row>
    <row r="396" ht="18.75" customHeight="1">
      <c r="B396" s="28"/>
    </row>
    <row r="397" ht="18.75" customHeight="1">
      <c r="B397" s="28"/>
    </row>
    <row r="398" ht="18.75" customHeight="1">
      <c r="B398" s="28"/>
    </row>
    <row r="399" ht="18.75" customHeight="1">
      <c r="B399" s="28"/>
    </row>
    <row r="400" ht="18.75" customHeight="1">
      <c r="B400" s="28"/>
    </row>
    <row r="401" ht="18.75" customHeight="1">
      <c r="B401" s="28"/>
    </row>
    <row r="402" ht="18.75" customHeight="1">
      <c r="B402" s="28"/>
    </row>
    <row r="403" ht="18.75" customHeight="1">
      <c r="B403" s="28"/>
    </row>
    <row r="404" ht="18.75" customHeight="1">
      <c r="B404" s="28"/>
    </row>
    <row r="405" ht="18.75" customHeight="1">
      <c r="B405" s="28"/>
    </row>
    <row r="406" ht="18.75" customHeight="1">
      <c r="B406" s="28"/>
    </row>
    <row r="407" ht="18.75" customHeight="1">
      <c r="B407" s="28"/>
    </row>
    <row r="408" ht="18.75" customHeight="1">
      <c r="B408" s="28"/>
    </row>
    <row r="409" ht="18.75" customHeight="1">
      <c r="B409" s="28"/>
    </row>
    <row r="410" ht="18.75" customHeight="1">
      <c r="B410" s="28"/>
    </row>
    <row r="411" ht="18.75" customHeight="1">
      <c r="B411" s="28"/>
    </row>
    <row r="412" ht="18.75" customHeight="1">
      <c r="B412" s="28"/>
    </row>
    <row r="413" ht="18.75" customHeight="1">
      <c r="B413" s="28"/>
    </row>
    <row r="414" ht="18.75" customHeight="1">
      <c r="B414" s="28"/>
    </row>
    <row r="415" ht="18.75" customHeight="1">
      <c r="B415" s="28"/>
    </row>
    <row r="416" ht="18.75" customHeight="1">
      <c r="B416" s="28"/>
    </row>
    <row r="417" ht="18.75" customHeight="1">
      <c r="B417" s="28"/>
    </row>
    <row r="418" ht="18.75" customHeight="1">
      <c r="B418" s="28"/>
    </row>
    <row r="419" ht="18.75" customHeight="1">
      <c r="B419" s="28"/>
    </row>
    <row r="420" ht="18.75" customHeight="1">
      <c r="B420" s="28"/>
    </row>
    <row r="421" ht="18.75" customHeight="1">
      <c r="B421" s="28"/>
    </row>
    <row r="422" ht="18.75" customHeight="1">
      <c r="B422" s="28"/>
    </row>
    <row r="423" ht="18.75" customHeight="1">
      <c r="B423" s="28"/>
    </row>
    <row r="424" ht="18.75" customHeight="1">
      <c r="B424" s="28"/>
    </row>
    <row r="425" ht="18.75" customHeight="1">
      <c r="B425" s="28"/>
    </row>
    <row r="426" ht="18.75" customHeight="1">
      <c r="B426" s="28"/>
    </row>
    <row r="427" ht="18.75" customHeight="1">
      <c r="B427" s="28"/>
    </row>
    <row r="428" ht="18.75" customHeight="1">
      <c r="B428" s="28"/>
    </row>
    <row r="429" ht="18.75" customHeight="1">
      <c r="B429" s="28"/>
    </row>
    <row r="430" ht="18.75" customHeight="1">
      <c r="B430" s="28"/>
    </row>
    <row r="431" ht="18.75" customHeight="1">
      <c r="B431" s="28"/>
    </row>
    <row r="432" ht="18.75" customHeight="1">
      <c r="B432" s="28"/>
    </row>
    <row r="433" ht="18.75" customHeight="1">
      <c r="B433" s="28"/>
    </row>
    <row r="434" ht="18.75" customHeight="1">
      <c r="B434" s="28"/>
    </row>
    <row r="435" ht="18.75" customHeight="1">
      <c r="B435" s="28"/>
    </row>
    <row r="436" ht="18.75" customHeight="1">
      <c r="B436" s="28"/>
    </row>
    <row r="437" ht="18.75" customHeight="1">
      <c r="B437" s="28"/>
    </row>
    <row r="438" ht="18.75" customHeight="1">
      <c r="B438" s="28"/>
    </row>
    <row r="439" ht="18.75" customHeight="1">
      <c r="B439" s="28"/>
    </row>
    <row r="440" ht="18.75" customHeight="1">
      <c r="B440" s="28"/>
    </row>
    <row r="441" ht="18.75" customHeight="1">
      <c r="B441" s="28"/>
    </row>
    <row r="442" ht="18.75" customHeight="1">
      <c r="B442" s="28"/>
    </row>
    <row r="443" ht="18.75" customHeight="1">
      <c r="B443" s="28"/>
    </row>
    <row r="444" ht="18.75" customHeight="1">
      <c r="B444" s="28"/>
    </row>
    <row r="445" ht="18.75" customHeight="1">
      <c r="B445" s="28"/>
    </row>
    <row r="446" ht="18.75" customHeight="1">
      <c r="B446" s="28"/>
    </row>
    <row r="447" ht="18.75" customHeight="1">
      <c r="B447" s="28"/>
    </row>
    <row r="448" ht="18.75" customHeight="1">
      <c r="B448" s="28"/>
    </row>
    <row r="449" ht="18.75" customHeight="1">
      <c r="B449" s="28"/>
    </row>
    <row r="450" ht="18.75" customHeight="1">
      <c r="B450" s="28"/>
    </row>
    <row r="451" ht="18.75" customHeight="1">
      <c r="B451" s="28"/>
    </row>
    <row r="452" ht="18.75" customHeight="1">
      <c r="B452" s="28"/>
    </row>
    <row r="453" ht="18.75" customHeight="1">
      <c r="B453" s="28"/>
    </row>
    <row r="454" ht="18.75" customHeight="1">
      <c r="B454" s="28"/>
    </row>
    <row r="455" ht="18.75" customHeight="1">
      <c r="B455" s="28"/>
    </row>
    <row r="456" ht="18.75" customHeight="1">
      <c r="B456" s="28"/>
    </row>
    <row r="457" ht="18.75" customHeight="1">
      <c r="B457" s="28"/>
    </row>
    <row r="458" ht="18.75" customHeight="1">
      <c r="B458" s="28"/>
    </row>
    <row r="459" ht="18.75" customHeight="1">
      <c r="B459" s="28"/>
    </row>
    <row r="460" ht="18.75" customHeight="1">
      <c r="B460" s="28"/>
    </row>
    <row r="461" ht="18.75" customHeight="1">
      <c r="B461" s="28"/>
    </row>
    <row r="462" ht="18.75" customHeight="1">
      <c r="B462" s="28"/>
    </row>
    <row r="463" ht="18.75" customHeight="1">
      <c r="B463" s="28"/>
    </row>
    <row r="464" ht="18.75" customHeight="1">
      <c r="B464" s="28"/>
    </row>
    <row r="465" ht="18.75" customHeight="1">
      <c r="B465" s="28"/>
    </row>
    <row r="466" ht="18.75" customHeight="1">
      <c r="B466" s="28"/>
    </row>
    <row r="467" ht="18.75" customHeight="1">
      <c r="B467" s="28"/>
    </row>
    <row r="468" ht="18.75" customHeight="1">
      <c r="B468" s="28"/>
    </row>
    <row r="469" ht="18.75" customHeight="1">
      <c r="B469" s="28"/>
    </row>
    <row r="470" ht="18.75" customHeight="1">
      <c r="B470" s="28"/>
    </row>
    <row r="471" ht="18.75" customHeight="1">
      <c r="B471" s="28"/>
    </row>
    <row r="472" ht="18.75" customHeight="1">
      <c r="B472" s="28"/>
    </row>
    <row r="473" ht="18.75" customHeight="1">
      <c r="B473" s="28"/>
    </row>
    <row r="474" ht="18.75" customHeight="1">
      <c r="B474" s="28"/>
    </row>
    <row r="475" ht="18.75" customHeight="1">
      <c r="B475" s="28"/>
    </row>
    <row r="476" ht="18.75" customHeight="1">
      <c r="B476" s="28"/>
    </row>
    <row r="477" ht="18.75" customHeight="1">
      <c r="B477" s="28"/>
    </row>
    <row r="478" ht="18.75" customHeight="1">
      <c r="B478" s="28"/>
    </row>
    <row r="479" ht="18.75" customHeight="1">
      <c r="B479" s="28"/>
    </row>
    <row r="480" ht="18.75" customHeight="1">
      <c r="B480" s="28"/>
    </row>
    <row r="481" ht="18.75" customHeight="1">
      <c r="B481" s="28"/>
    </row>
    <row r="482" ht="18.75" customHeight="1">
      <c r="B482" s="28"/>
    </row>
    <row r="483" ht="18.75" customHeight="1">
      <c r="B483" s="28"/>
    </row>
    <row r="484" ht="18.75" customHeight="1">
      <c r="B484" s="28"/>
    </row>
    <row r="485" ht="18.75" customHeight="1">
      <c r="B485" s="28"/>
    </row>
    <row r="486" ht="18.75" customHeight="1">
      <c r="B486" s="28"/>
    </row>
    <row r="487" ht="18.75" customHeight="1">
      <c r="B487" s="28"/>
    </row>
    <row r="488" ht="18.75" customHeight="1">
      <c r="B488" s="28"/>
    </row>
    <row r="489" ht="18.75" customHeight="1">
      <c r="B489" s="28"/>
    </row>
    <row r="490" ht="18.75" customHeight="1">
      <c r="B490" s="28"/>
    </row>
    <row r="491" ht="18.75" customHeight="1">
      <c r="B491" s="28"/>
    </row>
    <row r="492" ht="18.75" customHeight="1">
      <c r="B492" s="28"/>
    </row>
    <row r="493" ht="18.75" customHeight="1">
      <c r="B493" s="28"/>
    </row>
    <row r="494" ht="18.75" customHeight="1">
      <c r="B494" s="28"/>
    </row>
    <row r="495" ht="18.75" customHeight="1">
      <c r="B495" s="28"/>
    </row>
    <row r="496" ht="18.75" customHeight="1">
      <c r="B496" s="28"/>
    </row>
    <row r="497" ht="18.75" customHeight="1">
      <c r="B497" s="28"/>
    </row>
    <row r="498" ht="18.75" customHeight="1">
      <c r="B498" s="28"/>
    </row>
    <row r="499" ht="18.75" customHeight="1">
      <c r="B499" s="28"/>
    </row>
    <row r="500" ht="18.75" customHeight="1">
      <c r="B500" s="28"/>
    </row>
    <row r="501" ht="18.75" customHeight="1">
      <c r="B501" s="28"/>
    </row>
    <row r="502" ht="18.75" customHeight="1">
      <c r="B502" s="28"/>
    </row>
    <row r="503" ht="18.75" customHeight="1">
      <c r="B503" s="28"/>
    </row>
    <row r="504" ht="18.75" customHeight="1">
      <c r="B504" s="28"/>
    </row>
    <row r="505" ht="18.75" customHeight="1">
      <c r="B505" s="28"/>
    </row>
    <row r="506" ht="18.75" customHeight="1">
      <c r="B506" s="28"/>
    </row>
    <row r="507" ht="18.75" customHeight="1">
      <c r="B507" s="28"/>
    </row>
    <row r="508" ht="18.75" customHeight="1">
      <c r="B508" s="28"/>
    </row>
    <row r="509" ht="18.75" customHeight="1">
      <c r="B509" s="28"/>
    </row>
    <row r="510" ht="18.75" customHeight="1">
      <c r="B510" s="28"/>
    </row>
    <row r="511" ht="18.75" customHeight="1">
      <c r="B511" s="28"/>
    </row>
    <row r="512" ht="18.75" customHeight="1">
      <c r="B512" s="28"/>
    </row>
    <row r="513" ht="18.75" customHeight="1">
      <c r="B513" s="28"/>
    </row>
    <row r="514" ht="18.75" customHeight="1">
      <c r="B514" s="28"/>
    </row>
    <row r="515" ht="18.75" customHeight="1">
      <c r="B515" s="28"/>
    </row>
    <row r="516" ht="18.75" customHeight="1">
      <c r="B516" s="28"/>
    </row>
    <row r="517" ht="18.75" customHeight="1">
      <c r="B517" s="28"/>
    </row>
    <row r="518" ht="18.75" customHeight="1">
      <c r="B518" s="28"/>
    </row>
    <row r="519" ht="18.75" customHeight="1">
      <c r="B519" s="28"/>
    </row>
    <row r="520" ht="18.75" customHeight="1">
      <c r="B520" s="28"/>
    </row>
    <row r="521" ht="18.75" customHeight="1">
      <c r="B521" s="28"/>
    </row>
    <row r="522" ht="18.75" customHeight="1">
      <c r="B522" s="28"/>
    </row>
    <row r="523" ht="18.75" customHeight="1">
      <c r="B523" s="28"/>
    </row>
    <row r="524" ht="18.75" customHeight="1">
      <c r="B524" s="28"/>
    </row>
    <row r="525" ht="18.75" customHeight="1">
      <c r="B525" s="28"/>
    </row>
    <row r="526" ht="18.75" customHeight="1">
      <c r="B526" s="28"/>
    </row>
    <row r="527" ht="18.75" customHeight="1">
      <c r="B527" s="28"/>
    </row>
    <row r="528" ht="18.75" customHeight="1">
      <c r="B528" s="28"/>
    </row>
    <row r="529" ht="18.75" customHeight="1">
      <c r="B529" s="28"/>
    </row>
    <row r="530" ht="18.75" customHeight="1">
      <c r="B530" s="28"/>
    </row>
    <row r="531" ht="18.75" customHeight="1">
      <c r="B531" s="28"/>
    </row>
    <row r="532" ht="18.75" customHeight="1">
      <c r="B532" s="28"/>
    </row>
    <row r="533" ht="18.75" customHeight="1">
      <c r="B533" s="28"/>
    </row>
    <row r="534" ht="18.75" customHeight="1">
      <c r="B534" s="28"/>
    </row>
    <row r="535" ht="18.75" customHeight="1">
      <c r="B535" s="28"/>
    </row>
    <row r="536" ht="18.75" customHeight="1">
      <c r="B536" s="28"/>
    </row>
    <row r="537" ht="18.75" customHeight="1">
      <c r="B537" s="28"/>
    </row>
    <row r="538" ht="18.75" customHeight="1">
      <c r="B538" s="28"/>
    </row>
    <row r="539" ht="18.75" customHeight="1">
      <c r="B539" s="28"/>
    </row>
    <row r="540" ht="18.75" customHeight="1">
      <c r="B540" s="28"/>
    </row>
    <row r="541" ht="18.75" customHeight="1">
      <c r="B541" s="28"/>
    </row>
    <row r="542" ht="18.75" customHeight="1">
      <c r="B542" s="28"/>
    </row>
    <row r="543" ht="18.75" customHeight="1">
      <c r="B543" s="28"/>
    </row>
    <row r="544" ht="18.75" customHeight="1">
      <c r="B544" s="28"/>
    </row>
    <row r="545" ht="18.75" customHeight="1">
      <c r="B545" s="28"/>
    </row>
    <row r="546" ht="18.75" customHeight="1">
      <c r="B546" s="28"/>
    </row>
    <row r="547" ht="18.75" customHeight="1">
      <c r="B547" s="28"/>
    </row>
    <row r="548" ht="18.75" customHeight="1">
      <c r="B548" s="28"/>
    </row>
    <row r="549" ht="18.75" customHeight="1">
      <c r="B549" s="28"/>
    </row>
    <row r="550" ht="18.75" customHeight="1">
      <c r="B550" s="28"/>
    </row>
    <row r="551" ht="18.75" customHeight="1">
      <c r="B551" s="28"/>
    </row>
    <row r="552" ht="18.75" customHeight="1">
      <c r="B552" s="28"/>
    </row>
    <row r="553" ht="18.75" customHeight="1">
      <c r="B553" s="28"/>
    </row>
    <row r="554" ht="18.75" customHeight="1">
      <c r="B554" s="28"/>
    </row>
    <row r="555" ht="18.75" customHeight="1">
      <c r="B555" s="28"/>
    </row>
    <row r="556" ht="18.75" customHeight="1">
      <c r="B556" s="28"/>
    </row>
    <row r="557" ht="18.75" customHeight="1">
      <c r="B557" s="28"/>
    </row>
    <row r="558" ht="18.75" customHeight="1">
      <c r="B558" s="28"/>
    </row>
    <row r="559" ht="18.75" customHeight="1">
      <c r="B559" s="28"/>
    </row>
    <row r="560" ht="18.75" customHeight="1">
      <c r="B560" s="28"/>
    </row>
    <row r="561" ht="18.75" customHeight="1">
      <c r="B561" s="28"/>
    </row>
    <row r="562" ht="18.75" customHeight="1">
      <c r="B562" s="28"/>
    </row>
    <row r="563" ht="18.75" customHeight="1">
      <c r="B563" s="28"/>
    </row>
    <row r="564" ht="18.75" customHeight="1">
      <c r="B564" s="28"/>
    </row>
    <row r="565" ht="18.75" customHeight="1">
      <c r="B565" s="28"/>
    </row>
    <row r="566" ht="18.75" customHeight="1">
      <c r="B566" s="28"/>
    </row>
    <row r="567" ht="18.75" customHeight="1">
      <c r="B567" s="28"/>
    </row>
    <row r="568" ht="18.75" customHeight="1">
      <c r="B568" s="28"/>
    </row>
    <row r="569" ht="18.75" customHeight="1">
      <c r="B569" s="28"/>
    </row>
    <row r="570" ht="18.75" customHeight="1">
      <c r="B570" s="28"/>
    </row>
    <row r="571" ht="18.75" customHeight="1">
      <c r="B571" s="28"/>
    </row>
    <row r="572" ht="18.75" customHeight="1">
      <c r="B572" s="28"/>
    </row>
    <row r="573" ht="18.75" customHeight="1">
      <c r="B573" s="28"/>
    </row>
    <row r="574" ht="18.75" customHeight="1">
      <c r="B574" s="28"/>
    </row>
    <row r="575" ht="18.75" customHeight="1">
      <c r="B575" s="28"/>
    </row>
    <row r="576" ht="18.75" customHeight="1">
      <c r="B576" s="28"/>
    </row>
    <row r="577" ht="18.75" customHeight="1">
      <c r="B577" s="28"/>
    </row>
    <row r="578" ht="18.75" customHeight="1">
      <c r="B578" s="28"/>
    </row>
    <row r="579" ht="18.75" customHeight="1">
      <c r="B579" s="28"/>
    </row>
    <row r="580" ht="18.75" customHeight="1">
      <c r="B580" s="28"/>
    </row>
    <row r="581" ht="18.75" customHeight="1">
      <c r="B581" s="28"/>
    </row>
    <row r="582" ht="18.75" customHeight="1">
      <c r="B582" s="28"/>
    </row>
    <row r="583" ht="18.75" customHeight="1">
      <c r="B583" s="28"/>
    </row>
    <row r="584" ht="18.75" customHeight="1">
      <c r="B584" s="28"/>
    </row>
    <row r="585" ht="18.75" customHeight="1">
      <c r="B585" s="28"/>
    </row>
    <row r="586" ht="18.75" customHeight="1">
      <c r="B586" s="28"/>
    </row>
    <row r="587" ht="18.75" customHeight="1">
      <c r="B587" s="28"/>
    </row>
    <row r="588" ht="18.75" customHeight="1">
      <c r="B588" s="28"/>
    </row>
    <row r="589" ht="18.75" customHeight="1">
      <c r="B589" s="28"/>
    </row>
    <row r="590" ht="18.75" customHeight="1">
      <c r="B590" s="28"/>
    </row>
    <row r="591" ht="18.75" customHeight="1">
      <c r="B591" s="28"/>
    </row>
    <row r="592" ht="18.75" customHeight="1">
      <c r="B592" s="28"/>
    </row>
    <row r="593" ht="18.75" customHeight="1">
      <c r="B593" s="28"/>
    </row>
    <row r="594" ht="18.75" customHeight="1">
      <c r="B594" s="28"/>
    </row>
    <row r="595" ht="18.75" customHeight="1">
      <c r="B595" s="28"/>
    </row>
    <row r="596" ht="18.75" customHeight="1">
      <c r="B596" s="28"/>
    </row>
    <row r="597" ht="18.75" customHeight="1">
      <c r="B597" s="28"/>
    </row>
    <row r="598" ht="18.75" customHeight="1">
      <c r="B598" s="28"/>
    </row>
    <row r="599" ht="18.75" customHeight="1">
      <c r="B599" s="28"/>
    </row>
    <row r="600" ht="18.75" customHeight="1">
      <c r="B600" s="28"/>
    </row>
    <row r="601" ht="18.75" customHeight="1">
      <c r="B601" s="28"/>
    </row>
    <row r="602" ht="18.75" customHeight="1">
      <c r="B602" s="28"/>
    </row>
    <row r="603" ht="18.75" customHeight="1">
      <c r="B603" s="28"/>
    </row>
    <row r="604" ht="18.75" customHeight="1">
      <c r="B604" s="28"/>
    </row>
    <row r="605" ht="18.75" customHeight="1">
      <c r="B605" s="28"/>
    </row>
    <row r="606" ht="18.75" customHeight="1">
      <c r="B606" s="28"/>
    </row>
    <row r="607" ht="18.75" customHeight="1">
      <c r="B607" s="28"/>
    </row>
    <row r="608" ht="18.75" customHeight="1">
      <c r="B608" s="28"/>
    </row>
    <row r="609" ht="18.75" customHeight="1">
      <c r="B609" s="28"/>
    </row>
    <row r="610" ht="18.75" customHeight="1">
      <c r="B610" s="28"/>
    </row>
    <row r="611" ht="18.75" customHeight="1">
      <c r="B611" s="28"/>
    </row>
    <row r="612" ht="18.75" customHeight="1">
      <c r="B612" s="28"/>
    </row>
    <row r="613" ht="18.75" customHeight="1">
      <c r="B613" s="28"/>
    </row>
    <row r="614" ht="18.75" customHeight="1">
      <c r="B614" s="28"/>
    </row>
    <row r="615" ht="18.75" customHeight="1">
      <c r="B615" s="28"/>
    </row>
    <row r="616" ht="18.75" customHeight="1">
      <c r="B616" s="28"/>
    </row>
    <row r="617" ht="18.75" customHeight="1">
      <c r="B617" s="28"/>
    </row>
    <row r="618" ht="18.75" customHeight="1">
      <c r="B618" s="28"/>
    </row>
    <row r="619" ht="18.75" customHeight="1">
      <c r="B619" s="28"/>
    </row>
    <row r="620" ht="18.75" customHeight="1">
      <c r="B620" s="28"/>
    </row>
    <row r="621" ht="18.75" customHeight="1">
      <c r="B621" s="28"/>
    </row>
    <row r="622" ht="18.75" customHeight="1">
      <c r="B622" s="28"/>
    </row>
    <row r="623" ht="18.75" customHeight="1">
      <c r="B623" s="28"/>
    </row>
    <row r="624" ht="18.75" customHeight="1">
      <c r="B624" s="28"/>
    </row>
    <row r="625" ht="18.75" customHeight="1">
      <c r="B625" s="28"/>
    </row>
    <row r="626" ht="18.75" customHeight="1">
      <c r="B626" s="28"/>
    </row>
    <row r="627" ht="18.75" customHeight="1">
      <c r="B627" s="28"/>
    </row>
    <row r="628" ht="18.75" customHeight="1">
      <c r="B628" s="28"/>
    </row>
    <row r="629" ht="18.75" customHeight="1">
      <c r="B629" s="28"/>
    </row>
    <row r="630" ht="17.25" customHeight="1">
      <c r="B630" s="28"/>
    </row>
    <row r="631" ht="18.75" customHeight="1">
      <c r="B631" s="28"/>
    </row>
    <row r="632" ht="18.75" customHeight="1">
      <c r="B632" s="28"/>
    </row>
    <row r="633" ht="18.75" customHeight="1">
      <c r="B633" s="28"/>
    </row>
    <row r="634" ht="18.75" customHeight="1">
      <c r="B634" s="28"/>
    </row>
    <row r="635" ht="18.75" customHeight="1">
      <c r="B635" s="28"/>
    </row>
    <row r="636" ht="18.75" customHeight="1">
      <c r="B636" s="28"/>
    </row>
    <row r="637" ht="18.75" customHeight="1">
      <c r="B637" s="28"/>
    </row>
    <row r="638" ht="18.75" customHeight="1">
      <c r="B638" s="28"/>
    </row>
    <row r="639" ht="18.75" customHeight="1">
      <c r="B639" s="28"/>
    </row>
    <row r="640" ht="18.75" customHeight="1">
      <c r="B640" s="28"/>
    </row>
    <row r="641" ht="18.75" customHeight="1">
      <c r="B641" s="28"/>
    </row>
    <row r="642" ht="18.75" customHeight="1">
      <c r="B642" s="28"/>
    </row>
    <row r="643" ht="18.75" customHeight="1">
      <c r="B643" s="28"/>
    </row>
    <row r="644" ht="18.75" customHeight="1">
      <c r="B644" s="28"/>
    </row>
    <row r="645" ht="18.75" customHeight="1">
      <c r="B645" s="28"/>
    </row>
    <row r="646" ht="18.75" customHeight="1">
      <c r="B646" s="28"/>
    </row>
    <row r="647" ht="18.75" customHeight="1">
      <c r="B647" s="28"/>
    </row>
    <row r="648" ht="18.75" customHeight="1">
      <c r="B648" s="28"/>
    </row>
    <row r="649" ht="18.75" customHeight="1">
      <c r="B649" s="28"/>
    </row>
    <row r="650" ht="18.75" customHeight="1">
      <c r="B650" s="28"/>
    </row>
    <row r="651" ht="18.75" customHeight="1">
      <c r="B651" s="28"/>
    </row>
    <row r="652" ht="18.75" customHeight="1">
      <c r="B652" s="28"/>
    </row>
    <row r="653" ht="18.75" customHeight="1">
      <c r="B653" s="28"/>
    </row>
    <row r="654" ht="18.75" customHeight="1">
      <c r="B654" s="28"/>
    </row>
    <row r="655" ht="18.75" customHeight="1">
      <c r="B655" s="28"/>
    </row>
    <row r="656" ht="18.75" customHeight="1">
      <c r="B656" s="28"/>
    </row>
    <row r="657" ht="18.75" customHeight="1">
      <c r="B657" s="28"/>
    </row>
    <row r="658" ht="18.75" customHeight="1">
      <c r="B658" s="28"/>
    </row>
    <row r="659" ht="18.75" customHeight="1">
      <c r="B659" s="28"/>
    </row>
    <row r="660" ht="18.75" customHeight="1">
      <c r="B660" s="28"/>
    </row>
    <row r="661" ht="18.75" customHeight="1">
      <c r="B661" s="28"/>
    </row>
    <row r="662" ht="18.75" customHeight="1">
      <c r="B662" s="28"/>
    </row>
    <row r="663" ht="18.75" customHeight="1">
      <c r="B663" s="28"/>
    </row>
    <row r="664" ht="18.75" customHeight="1">
      <c r="B664" s="28"/>
    </row>
    <row r="665" ht="18.75" customHeight="1">
      <c r="B665" s="28"/>
    </row>
    <row r="666" ht="18.75" customHeight="1">
      <c r="B666" s="28"/>
    </row>
    <row r="667" ht="18.75" customHeight="1">
      <c r="B667" s="28"/>
    </row>
    <row r="668" ht="18.75" customHeight="1">
      <c r="B668" s="28"/>
    </row>
    <row r="669" ht="18.75" customHeight="1">
      <c r="B669" s="28"/>
    </row>
    <row r="670" ht="18.75" customHeight="1">
      <c r="B670" s="28"/>
    </row>
    <row r="671" ht="18.75" customHeight="1">
      <c r="B671" s="28"/>
    </row>
    <row r="672" ht="18.75" customHeight="1">
      <c r="B672" s="28"/>
    </row>
    <row r="673" ht="18.75" customHeight="1">
      <c r="B673" s="28"/>
    </row>
    <row r="674" ht="18.75" customHeight="1">
      <c r="B674" s="28"/>
    </row>
    <row r="675" ht="18.75" customHeight="1">
      <c r="B675" s="28"/>
    </row>
    <row r="676" ht="18.75" customHeight="1">
      <c r="B676" s="28"/>
    </row>
    <row r="677" ht="18.75" customHeight="1">
      <c r="B677" s="28"/>
    </row>
    <row r="678" ht="18.75" customHeight="1">
      <c r="B678" s="28"/>
    </row>
    <row r="679" ht="18.75" customHeight="1">
      <c r="B679" s="28"/>
    </row>
    <row r="680" ht="18.75" customHeight="1">
      <c r="B680" s="28"/>
    </row>
    <row r="681" ht="18.75" customHeight="1">
      <c r="B681" s="28"/>
    </row>
    <row r="682" ht="18.75" customHeight="1">
      <c r="B682" s="28"/>
    </row>
    <row r="683" ht="18.75" customHeight="1">
      <c r="B683" s="28"/>
    </row>
    <row r="684" ht="18.75" customHeight="1">
      <c r="B684" s="28"/>
    </row>
    <row r="685" ht="18.75" customHeight="1">
      <c r="B685" s="28"/>
    </row>
    <row r="686" ht="18.75" customHeight="1">
      <c r="B686" s="28"/>
    </row>
    <row r="687" ht="18.75" customHeight="1">
      <c r="B687" s="28"/>
    </row>
    <row r="688" ht="18.75" customHeight="1">
      <c r="B688" s="28"/>
    </row>
    <row r="689" ht="18.75" customHeight="1">
      <c r="B689" s="28"/>
    </row>
    <row r="690" ht="18.75" customHeight="1">
      <c r="B690" s="28"/>
    </row>
    <row r="691" ht="18.75" customHeight="1">
      <c r="B691" s="28"/>
    </row>
    <row r="692" ht="18.75" customHeight="1">
      <c r="B692" s="28"/>
    </row>
    <row r="693" ht="18.75" customHeight="1">
      <c r="B693" s="28"/>
    </row>
    <row r="694" ht="18.75" customHeight="1">
      <c r="B694" s="28"/>
    </row>
    <row r="695" ht="18.75" customHeight="1">
      <c r="B695" s="28"/>
    </row>
    <row r="696" ht="18.75" customHeight="1">
      <c r="B696" s="28"/>
    </row>
    <row r="697" ht="18.75" customHeight="1">
      <c r="B697" s="28"/>
    </row>
    <row r="698" ht="18.75" customHeight="1">
      <c r="B698" s="28"/>
    </row>
    <row r="699" ht="18.75" customHeight="1">
      <c r="B699" s="28"/>
    </row>
    <row r="700" ht="18.75" customHeight="1">
      <c r="B700" s="28"/>
    </row>
    <row r="701" ht="18.75" customHeight="1">
      <c r="B701" s="28"/>
    </row>
    <row r="702" ht="18.75" customHeight="1">
      <c r="B702" s="28"/>
    </row>
    <row r="703" ht="18.75" customHeight="1">
      <c r="B703" s="28"/>
    </row>
  </sheetData>
  <sheetProtection/>
  <autoFilter ref="B1:H703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I31" sqref="I31"/>
    </sheetView>
  </sheetViews>
  <sheetFormatPr defaultColWidth="8.88671875" defaultRowHeight="13.5"/>
  <cols>
    <col min="1" max="1" width="3.5546875" style="0" customWidth="1"/>
    <col min="2" max="2" width="5.10546875" style="0" customWidth="1"/>
    <col min="3" max="6" width="6.88671875" style="255" customWidth="1"/>
    <col min="7" max="8" width="6.88671875" style="0" customWidth="1"/>
    <col min="9" max="10" width="6.3359375" style="0" customWidth="1"/>
    <col min="11" max="16" width="5.6640625" style="0" customWidth="1"/>
    <col min="18" max="18" width="9.5546875" style="0" bestFit="1" customWidth="1"/>
  </cols>
  <sheetData>
    <row r="1" spans="1:2" ht="17.25" customHeight="1">
      <c r="A1" s="254"/>
      <c r="B1" s="254"/>
    </row>
    <row r="2" spans="1:18" ht="17.25" customHeight="1" thickBot="1">
      <c r="A2" s="499" t="s">
        <v>291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</row>
    <row r="3" spans="1:16" s="256" customFormat="1" ht="15.75" customHeight="1">
      <c r="A3" s="500" t="s">
        <v>221</v>
      </c>
      <c r="B3" s="501"/>
      <c r="C3" s="504" t="s">
        <v>222</v>
      </c>
      <c r="D3" s="505"/>
      <c r="E3" s="505"/>
      <c r="F3" s="505"/>
      <c r="G3" s="505"/>
      <c r="H3" s="505"/>
      <c r="I3" s="505"/>
      <c r="J3" s="506"/>
      <c r="K3" s="507" t="s">
        <v>223</v>
      </c>
      <c r="L3" s="508" t="s">
        <v>224</v>
      </c>
      <c r="M3" s="510" t="s">
        <v>225</v>
      </c>
      <c r="N3" s="511"/>
      <c r="O3" s="511"/>
      <c r="P3" s="512"/>
    </row>
    <row r="4" spans="1:16" s="256" customFormat="1" ht="36" customHeight="1">
      <c r="A4" s="502"/>
      <c r="B4" s="503"/>
      <c r="C4" s="257" t="s">
        <v>226</v>
      </c>
      <c r="D4" s="257" t="s">
        <v>227</v>
      </c>
      <c r="E4" s="257" t="s">
        <v>228</v>
      </c>
      <c r="F4" s="257" t="s">
        <v>229</v>
      </c>
      <c r="G4" s="257" t="s">
        <v>230</v>
      </c>
      <c r="H4" s="257" t="s">
        <v>231</v>
      </c>
      <c r="I4" s="257" t="s">
        <v>232</v>
      </c>
      <c r="J4" s="257" t="s">
        <v>233</v>
      </c>
      <c r="K4" s="503"/>
      <c r="L4" s="509"/>
      <c r="M4" s="258" t="s">
        <v>234</v>
      </c>
      <c r="N4" s="258" t="s">
        <v>235</v>
      </c>
      <c r="O4" s="258" t="s">
        <v>236</v>
      </c>
      <c r="P4" s="259" t="s">
        <v>237</v>
      </c>
    </row>
    <row r="5" spans="1:16" s="256" customFormat="1" ht="15.75" customHeight="1">
      <c r="A5" s="260" t="s">
        <v>238</v>
      </c>
      <c r="B5" s="261" t="s">
        <v>239</v>
      </c>
      <c r="C5" s="262" t="s">
        <v>240</v>
      </c>
      <c r="D5" s="262" t="s">
        <v>241</v>
      </c>
      <c r="E5" s="262" t="s">
        <v>242</v>
      </c>
      <c r="F5" s="262">
        <v>5.5</v>
      </c>
      <c r="G5" s="262">
        <v>13.9</v>
      </c>
      <c r="H5" s="262" t="s">
        <v>242</v>
      </c>
      <c r="I5" s="262">
        <v>2.3</v>
      </c>
      <c r="J5" s="262">
        <v>4.7</v>
      </c>
      <c r="K5" s="263">
        <v>4.01</v>
      </c>
      <c r="L5" s="264">
        <v>0.228</v>
      </c>
      <c r="M5" s="265">
        <v>26</v>
      </c>
      <c r="N5" s="265">
        <v>35</v>
      </c>
      <c r="O5" s="265">
        <v>48</v>
      </c>
      <c r="P5" s="266">
        <v>69</v>
      </c>
    </row>
    <row r="6" spans="1:16" s="256" customFormat="1" ht="15.75" customHeight="1">
      <c r="A6" s="260" t="s">
        <v>238</v>
      </c>
      <c r="B6" s="261" t="s">
        <v>243</v>
      </c>
      <c r="C6" s="262" t="s">
        <v>244</v>
      </c>
      <c r="D6" s="262" t="s">
        <v>245</v>
      </c>
      <c r="E6" s="262" t="s">
        <v>246</v>
      </c>
      <c r="F6" s="262">
        <v>6.2</v>
      </c>
      <c r="G6" s="262">
        <v>18.8</v>
      </c>
      <c r="H6" s="262" t="s">
        <v>247</v>
      </c>
      <c r="I6" s="262">
        <v>3</v>
      </c>
      <c r="J6" s="262">
        <v>6.3</v>
      </c>
      <c r="K6" s="263">
        <v>4.85</v>
      </c>
      <c r="L6" s="264">
        <v>0.385</v>
      </c>
      <c r="M6" s="265">
        <v>39</v>
      </c>
      <c r="N6" s="265">
        <v>52</v>
      </c>
      <c r="O6" s="265">
        <v>70</v>
      </c>
      <c r="P6" s="266">
        <v>100</v>
      </c>
    </row>
    <row r="7" spans="1:16" s="256" customFormat="1" ht="15.75" customHeight="1">
      <c r="A7" s="260" t="s">
        <v>238</v>
      </c>
      <c r="B7" s="267" t="s">
        <v>248</v>
      </c>
      <c r="C7" s="262" t="s">
        <v>249</v>
      </c>
      <c r="D7" s="262" t="s">
        <v>250</v>
      </c>
      <c r="E7" s="262" t="s">
        <v>251</v>
      </c>
      <c r="F7" s="262">
        <v>9.7</v>
      </c>
      <c r="G7" s="262">
        <v>19.5</v>
      </c>
      <c r="H7" s="262" t="s">
        <v>252</v>
      </c>
      <c r="I7" s="262">
        <v>5.1</v>
      </c>
      <c r="J7" s="262">
        <v>6.4</v>
      </c>
      <c r="K7" s="263">
        <v>6.56</v>
      </c>
      <c r="L7" s="264">
        <v>0.601</v>
      </c>
      <c r="M7" s="265">
        <v>33</v>
      </c>
      <c r="N7" s="265">
        <v>46</v>
      </c>
      <c r="O7" s="265">
        <v>71</v>
      </c>
      <c r="P7" s="266">
        <v>92</v>
      </c>
    </row>
    <row r="8" spans="1:16" s="256" customFormat="1" ht="15.75" customHeight="1">
      <c r="A8" s="260" t="s">
        <v>238</v>
      </c>
      <c r="B8" s="261" t="s">
        <v>253</v>
      </c>
      <c r="C8" s="262" t="s">
        <v>254</v>
      </c>
      <c r="D8" s="262" t="s">
        <v>255</v>
      </c>
      <c r="E8" s="262" t="s">
        <v>256</v>
      </c>
      <c r="F8" s="262">
        <v>9.6</v>
      </c>
      <c r="G8" s="262">
        <v>25.3</v>
      </c>
      <c r="H8" s="262" t="s">
        <v>256</v>
      </c>
      <c r="I8" s="262">
        <v>4.4</v>
      </c>
      <c r="J8" s="262">
        <v>7.9</v>
      </c>
      <c r="K8" s="263">
        <v>6.94</v>
      </c>
      <c r="L8" s="264">
        <v>0.84</v>
      </c>
      <c r="M8" s="265">
        <v>56</v>
      </c>
      <c r="N8" s="265">
        <v>75</v>
      </c>
      <c r="O8" s="265">
        <v>102</v>
      </c>
      <c r="P8" s="266">
        <v>146</v>
      </c>
    </row>
    <row r="9" spans="1:16" s="256" customFormat="1" ht="15.75" customHeight="1">
      <c r="A9" s="260" t="s">
        <v>238</v>
      </c>
      <c r="B9" s="261" t="s">
        <v>257</v>
      </c>
      <c r="C9" s="262" t="s">
        <v>258</v>
      </c>
      <c r="D9" s="262" t="s">
        <v>259</v>
      </c>
      <c r="E9" s="262" t="s">
        <v>260</v>
      </c>
      <c r="F9" s="262">
        <v>10.4</v>
      </c>
      <c r="G9" s="262">
        <v>28.3</v>
      </c>
      <c r="H9" s="262" t="s">
        <v>260</v>
      </c>
      <c r="I9" s="262">
        <v>6</v>
      </c>
      <c r="J9" s="262">
        <v>7.9</v>
      </c>
      <c r="K9" s="263">
        <v>7.75</v>
      </c>
      <c r="L9" s="264">
        <v>1.52</v>
      </c>
      <c r="M9" s="265">
        <v>88</v>
      </c>
      <c r="N9" s="265">
        <v>119</v>
      </c>
      <c r="O9" s="265">
        <v>163</v>
      </c>
      <c r="P9" s="266">
        <v>234</v>
      </c>
    </row>
    <row r="10" spans="1:16" s="256" customFormat="1" ht="15.75" customHeight="1">
      <c r="A10" s="260" t="s">
        <v>238</v>
      </c>
      <c r="B10" s="261" t="s">
        <v>261</v>
      </c>
      <c r="C10" s="262" t="s">
        <v>262</v>
      </c>
      <c r="D10" s="262" t="s">
        <v>263</v>
      </c>
      <c r="E10" s="262" t="s">
        <v>264</v>
      </c>
      <c r="F10" s="262">
        <v>15</v>
      </c>
      <c r="G10" s="262">
        <v>30.4</v>
      </c>
      <c r="H10" s="262" t="s">
        <v>265</v>
      </c>
      <c r="I10" s="262">
        <v>5.9</v>
      </c>
      <c r="J10" s="262">
        <v>9.5</v>
      </c>
      <c r="K10" s="263">
        <v>9.84</v>
      </c>
      <c r="L10" s="264">
        <v>1.28</v>
      </c>
      <c r="M10" s="265">
        <v>56</v>
      </c>
      <c r="N10" s="265">
        <v>76</v>
      </c>
      <c r="O10" s="265">
        <v>105</v>
      </c>
      <c r="P10" s="266">
        <v>151</v>
      </c>
    </row>
    <row r="11" spans="1:16" s="256" customFormat="1" ht="15.75" customHeight="1">
      <c r="A11" s="260" t="s">
        <v>238</v>
      </c>
      <c r="B11" s="261" t="s">
        <v>266</v>
      </c>
      <c r="C11" s="262" t="s">
        <v>262</v>
      </c>
      <c r="D11" s="262" t="s">
        <v>263</v>
      </c>
      <c r="E11" s="262" t="s">
        <v>267</v>
      </c>
      <c r="F11" s="262">
        <v>15</v>
      </c>
      <c r="G11" s="262">
        <v>30.4</v>
      </c>
      <c r="H11" s="262" t="s">
        <v>265</v>
      </c>
      <c r="I11" s="262">
        <v>5.9</v>
      </c>
      <c r="J11" s="262">
        <v>9.5</v>
      </c>
      <c r="K11" s="268">
        <v>9.84</v>
      </c>
      <c r="L11" s="269">
        <v>1.83</v>
      </c>
      <c r="M11" s="270">
        <v>80</v>
      </c>
      <c r="N11" s="270">
        <v>108</v>
      </c>
      <c r="O11" s="270">
        <v>150</v>
      </c>
      <c r="P11" s="266">
        <v>217</v>
      </c>
    </row>
    <row r="12" spans="1:16" s="256" customFormat="1" ht="15.75" customHeight="1">
      <c r="A12" s="260" t="s">
        <v>238</v>
      </c>
      <c r="B12" s="261" t="s">
        <v>268</v>
      </c>
      <c r="C12" s="262" t="s">
        <v>262</v>
      </c>
      <c r="D12" s="262" t="s">
        <v>263</v>
      </c>
      <c r="E12" s="262" t="s">
        <v>269</v>
      </c>
      <c r="F12" s="262">
        <v>15</v>
      </c>
      <c r="G12" s="262">
        <v>30.4</v>
      </c>
      <c r="H12" s="262" t="s">
        <v>265</v>
      </c>
      <c r="I12" s="262">
        <v>5.9</v>
      </c>
      <c r="J12" s="262">
        <v>9.5</v>
      </c>
      <c r="K12" s="268">
        <v>9.84</v>
      </c>
      <c r="L12" s="269">
        <v>2.37</v>
      </c>
      <c r="M12" s="270">
        <v>104</v>
      </c>
      <c r="N12" s="270">
        <v>140</v>
      </c>
      <c r="O12" s="270">
        <v>194</v>
      </c>
      <c r="P12" s="266">
        <v>281</v>
      </c>
    </row>
    <row r="13" spans="1:16" s="256" customFormat="1" ht="15.75" customHeight="1">
      <c r="A13" s="260" t="s">
        <v>238</v>
      </c>
      <c r="B13" s="261" t="s">
        <v>270</v>
      </c>
      <c r="C13" s="262" t="s">
        <v>271</v>
      </c>
      <c r="D13" s="262" t="s">
        <v>272</v>
      </c>
      <c r="E13" s="262" t="s">
        <v>273</v>
      </c>
      <c r="F13" s="262">
        <v>18.5</v>
      </c>
      <c r="G13" s="262">
        <v>37.5</v>
      </c>
      <c r="H13" s="262" t="s">
        <v>274</v>
      </c>
      <c r="I13" s="262">
        <v>8.4</v>
      </c>
      <c r="J13" s="262">
        <v>10.3</v>
      </c>
      <c r="K13" s="268">
        <v>12.3</v>
      </c>
      <c r="L13" s="269">
        <v>3.5</v>
      </c>
      <c r="M13" s="270">
        <v>116</v>
      </c>
      <c r="N13" s="270">
        <v>157</v>
      </c>
      <c r="O13" s="270">
        <v>219</v>
      </c>
      <c r="P13" s="271"/>
    </row>
    <row r="14" spans="1:16" s="256" customFormat="1" ht="15.75" customHeight="1">
      <c r="A14" s="260" t="s">
        <v>238</v>
      </c>
      <c r="B14" s="261" t="s">
        <v>275</v>
      </c>
      <c r="C14" s="262" t="s">
        <v>271</v>
      </c>
      <c r="D14" s="262" t="s">
        <v>272</v>
      </c>
      <c r="E14" s="262" t="s">
        <v>276</v>
      </c>
      <c r="F14" s="262">
        <v>18.5</v>
      </c>
      <c r="G14" s="262">
        <v>37.5</v>
      </c>
      <c r="H14" s="262" t="s">
        <v>274</v>
      </c>
      <c r="I14" s="262">
        <v>8.4</v>
      </c>
      <c r="J14" s="262">
        <v>10.3</v>
      </c>
      <c r="K14" s="263">
        <v>12.3</v>
      </c>
      <c r="L14" s="264">
        <v>4.17</v>
      </c>
      <c r="M14" s="265">
        <v>138</v>
      </c>
      <c r="N14" s="265">
        <v>187</v>
      </c>
      <c r="O14" s="265">
        <v>261</v>
      </c>
      <c r="P14" s="271"/>
    </row>
    <row r="15" spans="1:16" s="256" customFormat="1" ht="15.75" customHeight="1">
      <c r="A15" s="260" t="s">
        <v>238</v>
      </c>
      <c r="B15" s="261" t="s">
        <v>277</v>
      </c>
      <c r="C15" s="262" t="s">
        <v>278</v>
      </c>
      <c r="D15" s="262" t="s">
        <v>279</v>
      </c>
      <c r="E15" s="262" t="s">
        <v>280</v>
      </c>
      <c r="F15" s="262">
        <v>22.2</v>
      </c>
      <c r="G15" s="262">
        <v>44.2</v>
      </c>
      <c r="H15" s="262" t="s">
        <v>281</v>
      </c>
      <c r="I15" s="262">
        <v>10</v>
      </c>
      <c r="J15" s="262">
        <v>12.1</v>
      </c>
      <c r="K15" s="268">
        <v>14.7</v>
      </c>
      <c r="L15" s="269">
        <v>5.4</v>
      </c>
      <c r="M15" s="270">
        <v>162</v>
      </c>
      <c r="N15" s="270">
        <v>230</v>
      </c>
      <c r="O15" s="270">
        <v>300</v>
      </c>
      <c r="P15" s="271"/>
    </row>
    <row r="16" spans="1:16" s="256" customFormat="1" ht="15.75" customHeight="1">
      <c r="A16" s="260" t="s">
        <v>238</v>
      </c>
      <c r="B16" s="261" t="s">
        <v>282</v>
      </c>
      <c r="C16" s="262" t="s">
        <v>283</v>
      </c>
      <c r="D16" s="262" t="s">
        <v>284</v>
      </c>
      <c r="E16" s="262" t="s">
        <v>285</v>
      </c>
      <c r="F16" s="262">
        <v>17.8</v>
      </c>
      <c r="G16" s="262">
        <v>52.6</v>
      </c>
      <c r="H16" s="262" t="s">
        <v>286</v>
      </c>
      <c r="I16" s="262">
        <v>9.5</v>
      </c>
      <c r="J16" s="262">
        <v>16.9</v>
      </c>
      <c r="K16" s="268">
        <v>13.7</v>
      </c>
      <c r="L16" s="269">
        <v>3.68</v>
      </c>
      <c r="M16" s="270">
        <v>130</v>
      </c>
      <c r="N16" s="270">
        <v>173</v>
      </c>
      <c r="O16" s="270">
        <v>236</v>
      </c>
      <c r="P16" s="271"/>
    </row>
    <row r="17" spans="1:16" s="256" customFormat="1" ht="15.75" customHeight="1" thickBot="1">
      <c r="A17" s="272" t="s">
        <v>238</v>
      </c>
      <c r="B17" s="273" t="s">
        <v>92</v>
      </c>
      <c r="C17" s="274" t="s">
        <v>287</v>
      </c>
      <c r="D17" s="274" t="s">
        <v>288</v>
      </c>
      <c r="E17" s="274" t="s">
        <v>289</v>
      </c>
      <c r="F17" s="274">
        <v>28.1</v>
      </c>
      <c r="G17" s="274">
        <v>59.3</v>
      </c>
      <c r="H17" s="274" t="s">
        <v>289</v>
      </c>
      <c r="I17" s="274">
        <v>9.9</v>
      </c>
      <c r="J17" s="274">
        <v>19.8</v>
      </c>
      <c r="K17" s="275">
        <v>18.5</v>
      </c>
      <c r="L17" s="276">
        <v>3.89</v>
      </c>
      <c r="M17" s="277">
        <v>103</v>
      </c>
      <c r="N17" s="277">
        <v>145</v>
      </c>
      <c r="O17" s="277">
        <v>190</v>
      </c>
      <c r="P17" s="278"/>
    </row>
    <row r="18" spans="1:16" s="256" customFormat="1" ht="12.75" customHeight="1">
      <c r="A18" s="279"/>
      <c r="B18" s="280"/>
      <c r="C18" s="281"/>
      <c r="D18" s="281"/>
      <c r="E18" s="281"/>
      <c r="F18" s="281"/>
      <c r="G18" s="281"/>
      <c r="H18" s="281"/>
      <c r="I18" s="281"/>
      <c r="J18" s="281"/>
      <c r="K18" s="282"/>
      <c r="L18" s="283"/>
      <c r="M18" s="283"/>
      <c r="N18" s="283"/>
      <c r="O18" s="283"/>
      <c r="P18" s="284"/>
    </row>
    <row r="19" spans="1:20" ht="14.25" thickBot="1">
      <c r="A19" s="498" t="s">
        <v>292</v>
      </c>
      <c r="B19" s="498"/>
      <c r="C19" s="498"/>
      <c r="D19" s="498"/>
      <c r="E19" s="498"/>
      <c r="Q19" s="256"/>
      <c r="R19" s="256"/>
      <c r="S19" s="256"/>
      <c r="T19" s="256"/>
    </row>
    <row r="20" spans="1:18" s="256" customFormat="1" ht="15.75" customHeight="1">
      <c r="A20" s="285" t="s">
        <v>290</v>
      </c>
      <c r="B20" s="286" t="s">
        <v>239</v>
      </c>
      <c r="C20" s="287" t="s">
        <v>240</v>
      </c>
      <c r="D20" s="287" t="s">
        <v>241</v>
      </c>
      <c r="E20" s="287" t="s">
        <v>242</v>
      </c>
      <c r="F20" s="287">
        <v>5.5</v>
      </c>
      <c r="G20" s="287">
        <v>13.9</v>
      </c>
      <c r="H20" s="287" t="s">
        <v>242</v>
      </c>
      <c r="I20" s="287">
        <v>2.3</v>
      </c>
      <c r="J20" s="287">
        <v>4.7</v>
      </c>
      <c r="K20" s="288">
        <v>4.01</v>
      </c>
      <c r="L20" s="289">
        <v>0.228</v>
      </c>
      <c r="M20" s="290">
        <v>26</v>
      </c>
      <c r="N20" s="290">
        <v>35</v>
      </c>
      <c r="O20" s="291">
        <v>48</v>
      </c>
      <c r="P20" s="292"/>
      <c r="R20" s="293"/>
    </row>
    <row r="21" spans="1:18" s="256" customFormat="1" ht="15.75" customHeight="1">
      <c r="A21" s="260" t="s">
        <v>290</v>
      </c>
      <c r="B21" s="261" t="s">
        <v>243</v>
      </c>
      <c r="C21" s="262" t="s">
        <v>244</v>
      </c>
      <c r="D21" s="262" t="s">
        <v>245</v>
      </c>
      <c r="E21" s="262" t="s">
        <v>246</v>
      </c>
      <c r="F21" s="262">
        <v>6.2</v>
      </c>
      <c r="G21" s="262">
        <v>18.8</v>
      </c>
      <c r="H21" s="262" t="s">
        <v>247</v>
      </c>
      <c r="I21" s="262">
        <v>3</v>
      </c>
      <c r="J21" s="262">
        <v>6.3</v>
      </c>
      <c r="K21" s="263">
        <v>4.85</v>
      </c>
      <c r="L21" s="264">
        <v>0.385</v>
      </c>
      <c r="M21" s="265">
        <v>39</v>
      </c>
      <c r="N21" s="265">
        <v>52</v>
      </c>
      <c r="O21" s="294">
        <v>70</v>
      </c>
      <c r="P21" s="266"/>
      <c r="R21" s="293"/>
    </row>
    <row r="22" spans="1:18" s="256" customFormat="1" ht="15.75" customHeight="1">
      <c r="A22" s="260" t="s">
        <v>290</v>
      </c>
      <c r="B22" s="261" t="s">
        <v>248</v>
      </c>
      <c r="C22" s="262" t="s">
        <v>249</v>
      </c>
      <c r="D22" s="262" t="s">
        <v>250</v>
      </c>
      <c r="E22" s="262" t="s">
        <v>251</v>
      </c>
      <c r="F22" s="262">
        <v>9.7</v>
      </c>
      <c r="G22" s="262">
        <v>19.5</v>
      </c>
      <c r="H22" s="262" t="s">
        <v>252</v>
      </c>
      <c r="I22" s="262">
        <v>5.1</v>
      </c>
      <c r="J22" s="262">
        <v>6.4</v>
      </c>
      <c r="K22" s="263">
        <v>6.56</v>
      </c>
      <c r="L22" s="264">
        <v>0.601</v>
      </c>
      <c r="M22" s="265">
        <v>33</v>
      </c>
      <c r="N22" s="265">
        <v>46</v>
      </c>
      <c r="O22" s="294">
        <v>71</v>
      </c>
      <c r="P22" s="266"/>
      <c r="R22" s="293"/>
    </row>
    <row r="23" spans="1:18" s="256" customFormat="1" ht="15.75" customHeight="1">
      <c r="A23" s="260" t="s">
        <v>290</v>
      </c>
      <c r="B23" s="261" t="s">
        <v>253</v>
      </c>
      <c r="C23" s="262" t="s">
        <v>254</v>
      </c>
      <c r="D23" s="262" t="s">
        <v>255</v>
      </c>
      <c r="E23" s="262" t="s">
        <v>256</v>
      </c>
      <c r="F23" s="262">
        <v>9.6</v>
      </c>
      <c r="G23" s="262">
        <v>25.3</v>
      </c>
      <c r="H23" s="262" t="s">
        <v>256</v>
      </c>
      <c r="I23" s="262">
        <v>4.4</v>
      </c>
      <c r="J23" s="262">
        <v>7.9</v>
      </c>
      <c r="K23" s="263">
        <v>6.94</v>
      </c>
      <c r="L23" s="264">
        <v>0.84</v>
      </c>
      <c r="M23" s="265">
        <v>56</v>
      </c>
      <c r="N23" s="265">
        <v>75</v>
      </c>
      <c r="O23" s="294">
        <v>102</v>
      </c>
      <c r="P23" s="266"/>
      <c r="R23" s="293"/>
    </row>
    <row r="24" spans="1:18" s="256" customFormat="1" ht="15.75" customHeight="1">
      <c r="A24" s="260" t="s">
        <v>290</v>
      </c>
      <c r="B24" s="261" t="s">
        <v>257</v>
      </c>
      <c r="C24" s="262" t="s">
        <v>258</v>
      </c>
      <c r="D24" s="262" t="s">
        <v>259</v>
      </c>
      <c r="E24" s="262" t="s">
        <v>260</v>
      </c>
      <c r="F24" s="262">
        <v>10.4</v>
      </c>
      <c r="G24" s="262">
        <v>28.3</v>
      </c>
      <c r="H24" s="262" t="s">
        <v>260</v>
      </c>
      <c r="I24" s="262">
        <v>6</v>
      </c>
      <c r="J24" s="262">
        <v>7.9</v>
      </c>
      <c r="K24" s="263">
        <v>7.75</v>
      </c>
      <c r="L24" s="264">
        <v>1.52</v>
      </c>
      <c r="M24" s="265">
        <v>88</v>
      </c>
      <c r="N24" s="265">
        <v>119</v>
      </c>
      <c r="O24" s="294">
        <v>163</v>
      </c>
      <c r="P24" s="266"/>
      <c r="R24" s="293"/>
    </row>
    <row r="25" spans="1:18" s="256" customFormat="1" ht="15.75" customHeight="1">
      <c r="A25" s="260" t="s">
        <v>290</v>
      </c>
      <c r="B25" s="261" t="s">
        <v>261</v>
      </c>
      <c r="C25" s="262" t="s">
        <v>262</v>
      </c>
      <c r="D25" s="262" t="s">
        <v>263</v>
      </c>
      <c r="E25" s="262" t="s">
        <v>264</v>
      </c>
      <c r="F25" s="262">
        <v>15</v>
      </c>
      <c r="G25" s="262">
        <v>30.4</v>
      </c>
      <c r="H25" s="262" t="s">
        <v>265</v>
      </c>
      <c r="I25" s="262">
        <v>5.9</v>
      </c>
      <c r="J25" s="262">
        <v>9.5</v>
      </c>
      <c r="K25" s="263">
        <v>9.84</v>
      </c>
      <c r="L25" s="264">
        <v>1.28</v>
      </c>
      <c r="M25" s="265">
        <v>56</v>
      </c>
      <c r="N25" s="265">
        <v>76</v>
      </c>
      <c r="O25" s="294">
        <v>105</v>
      </c>
      <c r="P25" s="266"/>
      <c r="R25" s="293"/>
    </row>
    <row r="26" spans="1:18" s="256" customFormat="1" ht="15.75" customHeight="1">
      <c r="A26" s="260" t="s">
        <v>290</v>
      </c>
      <c r="B26" s="261" t="s">
        <v>266</v>
      </c>
      <c r="C26" s="262" t="s">
        <v>262</v>
      </c>
      <c r="D26" s="262" t="s">
        <v>263</v>
      </c>
      <c r="E26" s="262" t="s">
        <v>267</v>
      </c>
      <c r="F26" s="262">
        <v>15</v>
      </c>
      <c r="G26" s="262">
        <v>30.4</v>
      </c>
      <c r="H26" s="262" t="s">
        <v>265</v>
      </c>
      <c r="I26" s="262">
        <v>5.9</v>
      </c>
      <c r="J26" s="262">
        <v>9.5</v>
      </c>
      <c r="K26" s="268">
        <v>9.84</v>
      </c>
      <c r="L26" s="269">
        <v>1.83</v>
      </c>
      <c r="M26" s="270">
        <v>80</v>
      </c>
      <c r="N26" s="270">
        <v>108</v>
      </c>
      <c r="O26" s="295">
        <v>150</v>
      </c>
      <c r="P26" s="266"/>
      <c r="R26" s="293"/>
    </row>
    <row r="27" spans="1:18" s="256" customFormat="1" ht="15.75" customHeight="1">
      <c r="A27" s="260" t="s">
        <v>290</v>
      </c>
      <c r="B27" s="261" t="s">
        <v>268</v>
      </c>
      <c r="C27" s="262" t="s">
        <v>262</v>
      </c>
      <c r="D27" s="262" t="s">
        <v>263</v>
      </c>
      <c r="E27" s="262" t="s">
        <v>269</v>
      </c>
      <c r="F27" s="262">
        <v>15</v>
      </c>
      <c r="G27" s="262">
        <v>30.4</v>
      </c>
      <c r="H27" s="262" t="s">
        <v>265</v>
      </c>
      <c r="I27" s="262">
        <v>5.9</v>
      </c>
      <c r="J27" s="262">
        <v>9.5</v>
      </c>
      <c r="K27" s="268">
        <v>9.84</v>
      </c>
      <c r="L27" s="269">
        <v>2.37</v>
      </c>
      <c r="M27" s="270">
        <v>104</v>
      </c>
      <c r="N27" s="270">
        <v>140</v>
      </c>
      <c r="O27" s="295">
        <v>194</v>
      </c>
      <c r="P27" s="266"/>
      <c r="R27" s="293"/>
    </row>
    <row r="28" spans="1:18" s="256" customFormat="1" ht="15.75" customHeight="1">
      <c r="A28" s="260" t="s">
        <v>290</v>
      </c>
      <c r="B28" s="261" t="s">
        <v>270</v>
      </c>
      <c r="C28" s="262" t="s">
        <v>271</v>
      </c>
      <c r="D28" s="262" t="s">
        <v>272</v>
      </c>
      <c r="E28" s="262" t="s">
        <v>273</v>
      </c>
      <c r="F28" s="262">
        <v>18.5</v>
      </c>
      <c r="G28" s="262">
        <v>37.5</v>
      </c>
      <c r="H28" s="262" t="s">
        <v>274</v>
      </c>
      <c r="I28" s="262">
        <v>8.4</v>
      </c>
      <c r="J28" s="262">
        <v>10.3</v>
      </c>
      <c r="K28" s="268">
        <v>12.3</v>
      </c>
      <c r="L28" s="269">
        <v>3.5</v>
      </c>
      <c r="M28" s="270">
        <v>116</v>
      </c>
      <c r="N28" s="270">
        <v>157</v>
      </c>
      <c r="O28" s="295">
        <v>219</v>
      </c>
      <c r="P28" s="271"/>
      <c r="R28" s="293"/>
    </row>
    <row r="29" spans="1:18" s="256" customFormat="1" ht="15.75" customHeight="1">
      <c r="A29" s="260" t="s">
        <v>290</v>
      </c>
      <c r="B29" s="261" t="s">
        <v>275</v>
      </c>
      <c r="C29" s="262" t="s">
        <v>271</v>
      </c>
      <c r="D29" s="262" t="s">
        <v>272</v>
      </c>
      <c r="E29" s="262" t="s">
        <v>276</v>
      </c>
      <c r="F29" s="262">
        <v>18.5</v>
      </c>
      <c r="G29" s="262">
        <v>37.5</v>
      </c>
      <c r="H29" s="262" t="s">
        <v>274</v>
      </c>
      <c r="I29" s="262">
        <v>8.4</v>
      </c>
      <c r="J29" s="262">
        <v>10.3</v>
      </c>
      <c r="K29" s="263">
        <v>12.3</v>
      </c>
      <c r="L29" s="264">
        <v>4.17</v>
      </c>
      <c r="M29" s="265">
        <v>138</v>
      </c>
      <c r="N29" s="265">
        <v>187</v>
      </c>
      <c r="O29" s="294">
        <v>261</v>
      </c>
      <c r="P29" s="271"/>
      <c r="R29" s="293"/>
    </row>
    <row r="30" spans="1:18" s="256" customFormat="1" ht="15.75" customHeight="1">
      <c r="A30" s="260" t="s">
        <v>290</v>
      </c>
      <c r="B30" s="261" t="s">
        <v>277</v>
      </c>
      <c r="C30" s="262" t="s">
        <v>278</v>
      </c>
      <c r="D30" s="262" t="s">
        <v>279</v>
      </c>
      <c r="E30" s="262" t="s">
        <v>280</v>
      </c>
      <c r="F30" s="262">
        <v>22.2</v>
      </c>
      <c r="G30" s="262">
        <v>44.2</v>
      </c>
      <c r="H30" s="262" t="s">
        <v>281</v>
      </c>
      <c r="I30" s="262">
        <v>10</v>
      </c>
      <c r="J30" s="262">
        <v>12.1</v>
      </c>
      <c r="K30" s="268">
        <v>14.7</v>
      </c>
      <c r="L30" s="269">
        <v>5.4</v>
      </c>
      <c r="M30" s="270">
        <v>162</v>
      </c>
      <c r="N30" s="270">
        <v>230</v>
      </c>
      <c r="O30" s="295">
        <v>300</v>
      </c>
      <c r="P30" s="271"/>
      <c r="R30" s="293"/>
    </row>
    <row r="31" spans="1:18" s="256" customFormat="1" ht="15.75" customHeight="1">
      <c r="A31" s="260" t="s">
        <v>290</v>
      </c>
      <c r="B31" s="261" t="s">
        <v>282</v>
      </c>
      <c r="C31" s="262" t="s">
        <v>283</v>
      </c>
      <c r="D31" s="262" t="s">
        <v>284</v>
      </c>
      <c r="E31" s="262" t="s">
        <v>285</v>
      </c>
      <c r="F31" s="262">
        <v>17.8</v>
      </c>
      <c r="G31" s="262">
        <v>52.6</v>
      </c>
      <c r="H31" s="262" t="s">
        <v>286</v>
      </c>
      <c r="I31" s="262">
        <v>9.5</v>
      </c>
      <c r="J31" s="262">
        <v>16.9</v>
      </c>
      <c r="K31" s="268">
        <v>13.7</v>
      </c>
      <c r="L31" s="269">
        <v>3.68</v>
      </c>
      <c r="M31" s="270">
        <v>130</v>
      </c>
      <c r="N31" s="270">
        <v>173</v>
      </c>
      <c r="O31" s="295">
        <v>236</v>
      </c>
      <c r="P31" s="271"/>
      <c r="R31" s="293"/>
    </row>
    <row r="32" spans="1:18" s="256" customFormat="1" ht="15.75" customHeight="1" thickBot="1">
      <c r="A32" s="272" t="s">
        <v>290</v>
      </c>
      <c r="B32" s="273" t="s">
        <v>92</v>
      </c>
      <c r="C32" s="274" t="s">
        <v>287</v>
      </c>
      <c r="D32" s="274" t="s">
        <v>288</v>
      </c>
      <c r="E32" s="274" t="s">
        <v>289</v>
      </c>
      <c r="F32" s="274">
        <v>28.1</v>
      </c>
      <c r="G32" s="274">
        <v>59.3</v>
      </c>
      <c r="H32" s="274" t="s">
        <v>289</v>
      </c>
      <c r="I32" s="274">
        <v>9.9</v>
      </c>
      <c r="J32" s="274">
        <v>19.8</v>
      </c>
      <c r="K32" s="275">
        <v>18.5</v>
      </c>
      <c r="L32" s="276">
        <v>3.89</v>
      </c>
      <c r="M32" s="277">
        <v>103</v>
      </c>
      <c r="N32" s="277">
        <v>145</v>
      </c>
      <c r="O32" s="296">
        <v>190</v>
      </c>
      <c r="P32" s="278"/>
      <c r="R32" s="293"/>
    </row>
  </sheetData>
  <sheetProtection/>
  <mergeCells count="7">
    <mergeCell ref="A19:E19"/>
    <mergeCell ref="A2:R2"/>
    <mergeCell ref="A3:B4"/>
    <mergeCell ref="C3:J3"/>
    <mergeCell ref="K3:K4"/>
    <mergeCell ref="L3:L4"/>
    <mergeCell ref="M3:P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&amp;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김달중</dc:creator>
  <cp:keywords/>
  <dc:description/>
  <cp:lastModifiedBy>aa</cp:lastModifiedBy>
  <cp:lastPrinted>2011-05-27T07:44:19Z</cp:lastPrinted>
  <dcterms:created xsi:type="dcterms:W3CDTF">2008-03-06T08:59:20Z</dcterms:created>
  <dcterms:modified xsi:type="dcterms:W3CDTF">2013-12-02T08:34:28Z</dcterms:modified>
  <cp:category/>
  <cp:version/>
  <cp:contentType/>
  <cp:contentStatus/>
</cp:coreProperties>
</file>